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0056DCAB-F077-4A52-BE3B-64D8CF0D0ABF}" xr6:coauthVersionLast="46" xr6:coauthVersionMax="46" xr10:uidLastSave="{00000000-0000-0000-0000-000000000000}"/>
  <bookViews>
    <workbookView xWindow="28680" yWindow="-120" windowWidth="29040" windowHeight="15840" firstSheet="11" activeTab="20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5.01" sheetId="24" r:id="rId6"/>
    <sheet name="2021.05.02" sheetId="25" r:id="rId7"/>
    <sheet name="2021.05.03" sheetId="26" r:id="rId8"/>
    <sheet name="2021.05.04" sheetId="27" r:id="rId9"/>
    <sheet name="2021.05.05" sheetId="28" r:id="rId10"/>
    <sheet name="2021.05.06" sheetId="29" r:id="rId11"/>
    <sheet name="2021.05.07" sheetId="30" r:id="rId12"/>
    <sheet name="2021.05.08" sheetId="31" r:id="rId13"/>
    <sheet name="2021.05.09" sheetId="32" r:id="rId14"/>
    <sheet name="2021.05.10" sheetId="33" r:id="rId15"/>
    <sheet name="2021.05.11" sheetId="34" r:id="rId16"/>
    <sheet name="2021.05.12" sheetId="35" r:id="rId17"/>
    <sheet name="2021.05.13" sheetId="36" r:id="rId18"/>
    <sheet name="2021.05.14" sheetId="37" r:id="rId19"/>
    <sheet name="2021.05.15" sheetId="38" r:id="rId20"/>
    <sheet name="2021.05.16" sheetId="39" r:id="rId21"/>
  </sheets>
  <definedNames>
    <definedName name="_xlnm._FilterDatabase" localSheetId="5" hidden="1">'2021.05.01'!#REF!</definedName>
    <definedName name="_xlnm._FilterDatabase" localSheetId="6" hidden="1">'2021.05.02'!#REF!</definedName>
    <definedName name="_xlnm._FilterDatabase" localSheetId="7" hidden="1">'2021.05.03'!#REF!</definedName>
    <definedName name="_xlnm._FilterDatabase" localSheetId="8" hidden="1">'2021.05.04'!#REF!</definedName>
    <definedName name="_xlnm._FilterDatabase" localSheetId="9" hidden="1">'2021.05.05'!#REF!</definedName>
    <definedName name="_xlnm._FilterDatabase" localSheetId="10" hidden="1">'2021.05.06'!#REF!</definedName>
    <definedName name="_xlnm._FilterDatabase" localSheetId="11" hidden="1">'2021.05.07'!#REF!</definedName>
    <definedName name="_xlnm._FilterDatabase" localSheetId="12" hidden="1">'2021.05.08'!#REF!</definedName>
    <definedName name="_xlnm._FilterDatabase" localSheetId="13" hidden="1">'2021.05.09'!#REF!</definedName>
    <definedName name="_xlnm._FilterDatabase" localSheetId="14" hidden="1">'2021.05.10'!#REF!</definedName>
    <definedName name="_xlnm._FilterDatabase" localSheetId="15" hidden="1">'2021.05.11'!#REF!</definedName>
    <definedName name="_xlnm._FilterDatabase" localSheetId="16" hidden="1">'2021.05.12'!#REF!</definedName>
    <definedName name="_xlnm._FilterDatabase" localSheetId="17" hidden="1">'2021.05.13'!#REF!</definedName>
    <definedName name="_xlnm._FilterDatabase" localSheetId="18" hidden="1">'2021.05.14'!#REF!</definedName>
    <definedName name="_xlnm._FilterDatabase" localSheetId="19" hidden="1">'2021.05.15'!#REF!</definedName>
    <definedName name="_xlnm._FilterDatabase" localSheetId="20" hidden="1">'2021.05.16'!#REF!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39" l="1"/>
  <c r="O198" i="39"/>
  <c r="N198" i="39"/>
  <c r="L198" i="39"/>
  <c r="K198" i="39"/>
  <c r="I198" i="39"/>
  <c r="H198" i="39"/>
  <c r="F198" i="39"/>
  <c r="E198" i="39"/>
  <c r="O197" i="39"/>
  <c r="N197" i="39"/>
  <c r="L197" i="39"/>
  <c r="K197" i="39"/>
  <c r="I197" i="39"/>
  <c r="H197" i="39"/>
  <c r="F197" i="39"/>
  <c r="E197" i="39"/>
  <c r="O196" i="39"/>
  <c r="N196" i="39"/>
  <c r="L196" i="39"/>
  <c r="K196" i="39"/>
  <c r="I196" i="39"/>
  <c r="H196" i="39"/>
  <c r="F196" i="39"/>
  <c r="E196" i="39"/>
  <c r="O195" i="39"/>
  <c r="N195" i="39"/>
  <c r="L195" i="39"/>
  <c r="K195" i="39"/>
  <c r="I195" i="39"/>
  <c r="H195" i="39"/>
  <c r="F195" i="39"/>
  <c r="E195" i="39"/>
  <c r="O194" i="39"/>
  <c r="N194" i="39"/>
  <c r="L194" i="39"/>
  <c r="K194" i="39"/>
  <c r="I194" i="39"/>
  <c r="H194" i="39"/>
  <c r="F194" i="39"/>
  <c r="E194" i="39"/>
  <c r="O193" i="39"/>
  <c r="N193" i="39"/>
  <c r="L193" i="39"/>
  <c r="K193" i="39"/>
  <c r="I193" i="39"/>
  <c r="H193" i="39"/>
  <c r="F193" i="39"/>
  <c r="E193" i="39"/>
  <c r="O192" i="39"/>
  <c r="N192" i="39"/>
  <c r="L192" i="39"/>
  <c r="K192" i="39"/>
  <c r="I192" i="39"/>
  <c r="H192" i="39"/>
  <c r="F192" i="39"/>
  <c r="E192" i="39"/>
  <c r="O191" i="39"/>
  <c r="N191" i="39"/>
  <c r="L191" i="39"/>
  <c r="K191" i="39"/>
  <c r="I191" i="39"/>
  <c r="H191" i="39"/>
  <c r="F191" i="39"/>
  <c r="E191" i="39"/>
  <c r="O190" i="39"/>
  <c r="N190" i="39"/>
  <c r="L190" i="39"/>
  <c r="K190" i="39"/>
  <c r="I190" i="39"/>
  <c r="H190" i="39"/>
  <c r="F190" i="39"/>
  <c r="E190" i="39"/>
  <c r="O189" i="39"/>
  <c r="N189" i="39"/>
  <c r="L189" i="39"/>
  <c r="K189" i="39"/>
  <c r="I189" i="39"/>
  <c r="H189" i="39"/>
  <c r="F189" i="39"/>
  <c r="E189" i="39"/>
  <c r="O188" i="39"/>
  <c r="N188" i="39"/>
  <c r="L188" i="39"/>
  <c r="K188" i="39"/>
  <c r="I188" i="39"/>
  <c r="H188" i="39"/>
  <c r="F188" i="39"/>
  <c r="E188" i="39"/>
  <c r="O187" i="39"/>
  <c r="N187" i="39"/>
  <c r="L187" i="39"/>
  <c r="K187" i="39"/>
  <c r="I187" i="39"/>
  <c r="H187" i="39"/>
  <c r="F187" i="39"/>
  <c r="E187" i="39"/>
  <c r="O186" i="39"/>
  <c r="N186" i="39"/>
  <c r="L186" i="39"/>
  <c r="K186" i="39"/>
  <c r="I186" i="39"/>
  <c r="H186" i="39"/>
  <c r="F186" i="39"/>
  <c r="E186" i="39"/>
  <c r="O185" i="39"/>
  <c r="N185" i="39"/>
  <c r="L185" i="39"/>
  <c r="K185" i="39"/>
  <c r="I185" i="39"/>
  <c r="H185" i="39"/>
  <c r="F185" i="39"/>
  <c r="E185" i="39"/>
  <c r="O184" i="39"/>
  <c r="N184" i="39"/>
  <c r="L184" i="39"/>
  <c r="K184" i="39"/>
  <c r="I184" i="39"/>
  <c r="H184" i="39"/>
  <c r="F184" i="39"/>
  <c r="E184" i="39"/>
  <c r="O183" i="39"/>
  <c r="N183" i="39"/>
  <c r="L183" i="39"/>
  <c r="K183" i="39"/>
  <c r="I183" i="39"/>
  <c r="H183" i="39"/>
  <c r="F183" i="39"/>
  <c r="E183" i="39"/>
  <c r="O182" i="39"/>
  <c r="N182" i="39"/>
  <c r="L182" i="39"/>
  <c r="K182" i="39"/>
  <c r="I182" i="39"/>
  <c r="H182" i="39"/>
  <c r="F182" i="39"/>
  <c r="E182" i="39"/>
  <c r="O181" i="39"/>
  <c r="N181" i="39"/>
  <c r="L181" i="39"/>
  <c r="K181" i="39"/>
  <c r="I181" i="39"/>
  <c r="H181" i="39"/>
  <c r="F181" i="39"/>
  <c r="E181" i="39"/>
  <c r="O180" i="39"/>
  <c r="N180" i="39"/>
  <c r="L180" i="39"/>
  <c r="K180" i="39"/>
  <c r="I180" i="39"/>
  <c r="H180" i="39"/>
  <c r="F180" i="39"/>
  <c r="E180" i="39"/>
  <c r="O179" i="39"/>
  <c r="O199" i="39" s="1"/>
  <c r="N179" i="39"/>
  <c r="N199" i="39" s="1"/>
  <c r="L179" i="39"/>
  <c r="L199" i="39" s="1"/>
  <c r="K179" i="39"/>
  <c r="K199" i="39" s="1"/>
  <c r="I179" i="39"/>
  <c r="I199" i="39" s="1"/>
  <c r="H179" i="39"/>
  <c r="H199" i="39" s="1"/>
  <c r="F179" i="39"/>
  <c r="F199" i="39" s="1"/>
  <c r="E179" i="39"/>
  <c r="E199" i="39" s="1"/>
  <c r="M177" i="39"/>
  <c r="J177" i="39"/>
  <c r="G177" i="39"/>
  <c r="D177" i="39"/>
  <c r="B177" i="39"/>
  <c r="M176" i="39"/>
  <c r="G176" i="39"/>
  <c r="B172" i="39"/>
  <c r="O171" i="39"/>
  <c r="N171" i="39"/>
  <c r="L171" i="39"/>
  <c r="K171" i="39"/>
  <c r="I171" i="39"/>
  <c r="H171" i="39"/>
  <c r="F171" i="39"/>
  <c r="E171" i="39"/>
  <c r="O170" i="39"/>
  <c r="N170" i="39"/>
  <c r="L170" i="39"/>
  <c r="K170" i="39"/>
  <c r="I170" i="39"/>
  <c r="H170" i="39"/>
  <c r="F170" i="39"/>
  <c r="E170" i="39"/>
  <c r="O169" i="39"/>
  <c r="N169" i="39"/>
  <c r="L169" i="39"/>
  <c r="K169" i="39"/>
  <c r="I169" i="39"/>
  <c r="H169" i="39"/>
  <c r="F169" i="39"/>
  <c r="E169" i="39"/>
  <c r="O168" i="39"/>
  <c r="N168" i="39"/>
  <c r="L168" i="39"/>
  <c r="K168" i="39"/>
  <c r="I168" i="39"/>
  <c r="H168" i="39"/>
  <c r="F168" i="39"/>
  <c r="E168" i="39"/>
  <c r="O167" i="39"/>
  <c r="N167" i="39"/>
  <c r="L167" i="39"/>
  <c r="K167" i="39"/>
  <c r="I167" i="39"/>
  <c r="H167" i="39"/>
  <c r="F167" i="39"/>
  <c r="E167" i="39"/>
  <c r="O166" i="39"/>
  <c r="N166" i="39"/>
  <c r="L166" i="39"/>
  <c r="K166" i="39"/>
  <c r="I166" i="39"/>
  <c r="H166" i="39"/>
  <c r="F166" i="39"/>
  <c r="E166" i="39"/>
  <c r="O165" i="39"/>
  <c r="N165" i="39"/>
  <c r="L165" i="39"/>
  <c r="K165" i="39"/>
  <c r="I165" i="39"/>
  <c r="H165" i="39"/>
  <c r="F165" i="39"/>
  <c r="E165" i="39"/>
  <c r="O164" i="39"/>
  <c r="N164" i="39"/>
  <c r="L164" i="39"/>
  <c r="K164" i="39"/>
  <c r="I164" i="39"/>
  <c r="H164" i="39"/>
  <c r="F164" i="39"/>
  <c r="E164" i="39"/>
  <c r="O163" i="39"/>
  <c r="N163" i="39"/>
  <c r="L163" i="39"/>
  <c r="K163" i="39"/>
  <c r="I163" i="39"/>
  <c r="H163" i="39"/>
  <c r="F163" i="39"/>
  <c r="E163" i="39"/>
  <c r="O162" i="39"/>
  <c r="N162" i="39"/>
  <c r="L162" i="39"/>
  <c r="K162" i="39"/>
  <c r="I162" i="39"/>
  <c r="H162" i="39"/>
  <c r="F162" i="39"/>
  <c r="E162" i="39"/>
  <c r="O161" i="39"/>
  <c r="N161" i="39"/>
  <c r="L161" i="39"/>
  <c r="K161" i="39"/>
  <c r="I161" i="39"/>
  <c r="H161" i="39"/>
  <c r="F161" i="39"/>
  <c r="E161" i="39"/>
  <c r="O160" i="39"/>
  <c r="N160" i="39"/>
  <c r="L160" i="39"/>
  <c r="K160" i="39"/>
  <c r="I160" i="39"/>
  <c r="H160" i="39"/>
  <c r="F160" i="39"/>
  <c r="E160" i="39"/>
  <c r="O159" i="39"/>
  <c r="N159" i="39"/>
  <c r="L159" i="39"/>
  <c r="K159" i="39"/>
  <c r="I159" i="39"/>
  <c r="H159" i="39"/>
  <c r="F159" i="39"/>
  <c r="E159" i="39"/>
  <c r="O158" i="39"/>
  <c r="N158" i="39"/>
  <c r="L158" i="39"/>
  <c r="K158" i="39"/>
  <c r="I158" i="39"/>
  <c r="H158" i="39"/>
  <c r="F158" i="39"/>
  <c r="E158" i="39"/>
  <c r="O157" i="39"/>
  <c r="N157" i="39"/>
  <c r="L157" i="39"/>
  <c r="K157" i="39"/>
  <c r="I157" i="39"/>
  <c r="H157" i="39"/>
  <c r="F157" i="39"/>
  <c r="E157" i="39"/>
  <c r="O156" i="39"/>
  <c r="N156" i="39"/>
  <c r="L156" i="39"/>
  <c r="K156" i="39"/>
  <c r="I156" i="39"/>
  <c r="H156" i="39"/>
  <c r="F156" i="39"/>
  <c r="E156" i="39"/>
  <c r="O155" i="39"/>
  <c r="N155" i="39"/>
  <c r="L155" i="39"/>
  <c r="K155" i="39"/>
  <c r="I155" i="39"/>
  <c r="H155" i="39"/>
  <c r="F155" i="39"/>
  <c r="E155" i="39"/>
  <c r="O154" i="39"/>
  <c r="N154" i="39"/>
  <c r="L154" i="39"/>
  <c r="K154" i="39"/>
  <c r="I154" i="39"/>
  <c r="H154" i="39"/>
  <c r="F154" i="39"/>
  <c r="E154" i="39"/>
  <c r="O153" i="39"/>
  <c r="N153" i="39"/>
  <c r="L153" i="39"/>
  <c r="K153" i="39"/>
  <c r="I153" i="39"/>
  <c r="H153" i="39"/>
  <c r="F153" i="39"/>
  <c r="E153" i="39"/>
  <c r="O152" i="39"/>
  <c r="O172" i="39" s="1"/>
  <c r="N152" i="39"/>
  <c r="N172" i="39" s="1"/>
  <c r="L152" i="39"/>
  <c r="L172" i="39" s="1"/>
  <c r="K152" i="39"/>
  <c r="K172" i="39" s="1"/>
  <c r="I152" i="39"/>
  <c r="I172" i="39" s="1"/>
  <c r="H152" i="39"/>
  <c r="H172" i="39" s="1"/>
  <c r="F152" i="39"/>
  <c r="F172" i="39" s="1"/>
  <c r="E152" i="39"/>
  <c r="E172" i="39" s="1"/>
  <c r="M150" i="39"/>
  <c r="J150" i="39"/>
  <c r="G150" i="39"/>
  <c r="D150" i="39"/>
  <c r="B150" i="39"/>
  <c r="M149" i="39"/>
  <c r="G149" i="39"/>
  <c r="B145" i="39"/>
  <c r="O144" i="39"/>
  <c r="N144" i="39"/>
  <c r="L144" i="39"/>
  <c r="K144" i="39"/>
  <c r="I144" i="39"/>
  <c r="H144" i="39"/>
  <c r="F144" i="39"/>
  <c r="E144" i="39"/>
  <c r="O143" i="39"/>
  <c r="N143" i="39"/>
  <c r="L143" i="39"/>
  <c r="K143" i="39"/>
  <c r="I143" i="39"/>
  <c r="H143" i="39"/>
  <c r="F143" i="39"/>
  <c r="E143" i="39"/>
  <c r="O142" i="39"/>
  <c r="N142" i="39"/>
  <c r="L142" i="39"/>
  <c r="K142" i="39"/>
  <c r="I142" i="39"/>
  <c r="H142" i="39"/>
  <c r="F142" i="39"/>
  <c r="E142" i="39"/>
  <c r="O141" i="39"/>
  <c r="N141" i="39"/>
  <c r="L141" i="39"/>
  <c r="K141" i="39"/>
  <c r="I141" i="39"/>
  <c r="H141" i="39"/>
  <c r="F141" i="39"/>
  <c r="E141" i="39"/>
  <c r="O140" i="39"/>
  <c r="N140" i="39"/>
  <c r="L140" i="39"/>
  <c r="K140" i="39"/>
  <c r="I140" i="39"/>
  <c r="H140" i="39"/>
  <c r="F140" i="39"/>
  <c r="E140" i="39"/>
  <c r="O139" i="39"/>
  <c r="N139" i="39"/>
  <c r="L139" i="39"/>
  <c r="K139" i="39"/>
  <c r="I139" i="39"/>
  <c r="H139" i="39"/>
  <c r="F139" i="39"/>
  <c r="E139" i="39"/>
  <c r="O138" i="39"/>
  <c r="N138" i="39"/>
  <c r="L138" i="39"/>
  <c r="K138" i="39"/>
  <c r="I138" i="39"/>
  <c r="H138" i="39"/>
  <c r="F138" i="39"/>
  <c r="E138" i="39"/>
  <c r="O137" i="39"/>
  <c r="N137" i="39"/>
  <c r="L137" i="39"/>
  <c r="K137" i="39"/>
  <c r="I137" i="39"/>
  <c r="H137" i="39"/>
  <c r="F137" i="39"/>
  <c r="E137" i="39"/>
  <c r="O136" i="39"/>
  <c r="N136" i="39"/>
  <c r="L136" i="39"/>
  <c r="K136" i="39"/>
  <c r="I136" i="39"/>
  <c r="H136" i="39"/>
  <c r="F136" i="39"/>
  <c r="E136" i="39"/>
  <c r="O135" i="39"/>
  <c r="N135" i="39"/>
  <c r="L135" i="39"/>
  <c r="K135" i="39"/>
  <c r="I135" i="39"/>
  <c r="H135" i="39"/>
  <c r="F135" i="39"/>
  <c r="E135" i="39"/>
  <c r="O134" i="39"/>
  <c r="N134" i="39"/>
  <c r="L134" i="39"/>
  <c r="K134" i="39"/>
  <c r="I134" i="39"/>
  <c r="H134" i="39"/>
  <c r="F134" i="39"/>
  <c r="E134" i="39"/>
  <c r="O133" i="39"/>
  <c r="N133" i="39"/>
  <c r="L133" i="39"/>
  <c r="K133" i="39"/>
  <c r="I133" i="39"/>
  <c r="H133" i="39"/>
  <c r="F133" i="39"/>
  <c r="E133" i="39"/>
  <c r="O132" i="39"/>
  <c r="N132" i="39"/>
  <c r="L132" i="39"/>
  <c r="K132" i="39"/>
  <c r="I132" i="39"/>
  <c r="H132" i="39"/>
  <c r="F132" i="39"/>
  <c r="E132" i="39"/>
  <c r="O131" i="39"/>
  <c r="N131" i="39"/>
  <c r="L131" i="39"/>
  <c r="K131" i="39"/>
  <c r="I131" i="39"/>
  <c r="H131" i="39"/>
  <c r="F131" i="39"/>
  <c r="E131" i="39"/>
  <c r="O130" i="39"/>
  <c r="N130" i="39"/>
  <c r="L130" i="39"/>
  <c r="K130" i="39"/>
  <c r="I130" i="39"/>
  <c r="H130" i="39"/>
  <c r="F130" i="39"/>
  <c r="E130" i="39"/>
  <c r="O129" i="39"/>
  <c r="N129" i="39"/>
  <c r="L129" i="39"/>
  <c r="K129" i="39"/>
  <c r="I129" i="39"/>
  <c r="H129" i="39"/>
  <c r="F129" i="39"/>
  <c r="E129" i="39"/>
  <c r="O128" i="39"/>
  <c r="N128" i="39"/>
  <c r="L128" i="39"/>
  <c r="K128" i="39"/>
  <c r="I128" i="39"/>
  <c r="H128" i="39"/>
  <c r="F128" i="39"/>
  <c r="E128" i="39"/>
  <c r="O127" i="39"/>
  <c r="N127" i="39"/>
  <c r="L127" i="39"/>
  <c r="K127" i="39"/>
  <c r="I127" i="39"/>
  <c r="H127" i="39"/>
  <c r="F127" i="39"/>
  <c r="E127" i="39"/>
  <c r="O126" i="39"/>
  <c r="N126" i="39"/>
  <c r="L126" i="39"/>
  <c r="K126" i="39"/>
  <c r="I126" i="39"/>
  <c r="H126" i="39"/>
  <c r="F126" i="39"/>
  <c r="E126" i="39"/>
  <c r="O125" i="39"/>
  <c r="O145" i="39" s="1"/>
  <c r="N125" i="39"/>
  <c r="N145" i="39" s="1"/>
  <c r="L125" i="39"/>
  <c r="L145" i="39" s="1"/>
  <c r="K125" i="39"/>
  <c r="K145" i="39" s="1"/>
  <c r="I125" i="39"/>
  <c r="I145" i="39" s="1"/>
  <c r="H125" i="39"/>
  <c r="H145" i="39" s="1"/>
  <c r="F125" i="39"/>
  <c r="F145" i="39" s="1"/>
  <c r="E125" i="39"/>
  <c r="E145" i="39" s="1"/>
  <c r="M123" i="39"/>
  <c r="J123" i="39"/>
  <c r="G123" i="39"/>
  <c r="D123" i="39"/>
  <c r="B123" i="39"/>
  <c r="M122" i="39"/>
  <c r="G122" i="39"/>
  <c r="B118" i="39"/>
  <c r="O117" i="39"/>
  <c r="N117" i="39"/>
  <c r="L117" i="39"/>
  <c r="K117" i="39"/>
  <c r="I117" i="39"/>
  <c r="H117" i="39"/>
  <c r="F117" i="39"/>
  <c r="E117" i="39"/>
  <c r="O116" i="39"/>
  <c r="N116" i="39"/>
  <c r="L116" i="39"/>
  <c r="K116" i="39"/>
  <c r="I116" i="39"/>
  <c r="H116" i="39"/>
  <c r="F116" i="39"/>
  <c r="E116" i="39"/>
  <c r="O115" i="39"/>
  <c r="N115" i="39"/>
  <c r="L115" i="39"/>
  <c r="K115" i="39"/>
  <c r="I115" i="39"/>
  <c r="H115" i="39"/>
  <c r="F115" i="39"/>
  <c r="E115" i="39"/>
  <c r="O114" i="39"/>
  <c r="N114" i="39"/>
  <c r="L114" i="39"/>
  <c r="K114" i="39"/>
  <c r="I114" i="39"/>
  <c r="H114" i="39"/>
  <c r="F114" i="39"/>
  <c r="E114" i="39"/>
  <c r="O113" i="39"/>
  <c r="N113" i="39"/>
  <c r="L113" i="39"/>
  <c r="K113" i="39"/>
  <c r="I113" i="39"/>
  <c r="H113" i="39"/>
  <c r="F113" i="39"/>
  <c r="E113" i="39"/>
  <c r="O112" i="39"/>
  <c r="N112" i="39"/>
  <c r="L112" i="39"/>
  <c r="K112" i="39"/>
  <c r="I112" i="39"/>
  <c r="H112" i="39"/>
  <c r="F112" i="39"/>
  <c r="E112" i="39"/>
  <c r="O111" i="39"/>
  <c r="N111" i="39"/>
  <c r="L111" i="39"/>
  <c r="K111" i="39"/>
  <c r="I111" i="39"/>
  <c r="H111" i="39"/>
  <c r="F111" i="39"/>
  <c r="E111" i="39"/>
  <c r="O110" i="39"/>
  <c r="N110" i="39"/>
  <c r="L110" i="39"/>
  <c r="K110" i="39"/>
  <c r="I110" i="39"/>
  <c r="H110" i="39"/>
  <c r="F110" i="39"/>
  <c r="E110" i="39"/>
  <c r="O109" i="39"/>
  <c r="N109" i="39"/>
  <c r="L109" i="39"/>
  <c r="K109" i="39"/>
  <c r="I109" i="39"/>
  <c r="H109" i="39"/>
  <c r="F109" i="39"/>
  <c r="E109" i="39"/>
  <c r="O108" i="39"/>
  <c r="N108" i="39"/>
  <c r="L108" i="39"/>
  <c r="K108" i="39"/>
  <c r="I108" i="39"/>
  <c r="H108" i="39"/>
  <c r="F108" i="39"/>
  <c r="E108" i="39"/>
  <c r="O107" i="39"/>
  <c r="N107" i="39"/>
  <c r="L107" i="39"/>
  <c r="K107" i="39"/>
  <c r="I107" i="39"/>
  <c r="H107" i="39"/>
  <c r="F107" i="39"/>
  <c r="E107" i="39"/>
  <c r="O106" i="39"/>
  <c r="N106" i="39"/>
  <c r="L106" i="39"/>
  <c r="K106" i="39"/>
  <c r="I106" i="39"/>
  <c r="H106" i="39"/>
  <c r="F106" i="39"/>
  <c r="E106" i="39"/>
  <c r="O105" i="39"/>
  <c r="N105" i="39"/>
  <c r="L105" i="39"/>
  <c r="K105" i="39"/>
  <c r="I105" i="39"/>
  <c r="H105" i="39"/>
  <c r="F105" i="39"/>
  <c r="E105" i="39"/>
  <c r="O104" i="39"/>
  <c r="N104" i="39"/>
  <c r="L104" i="39"/>
  <c r="K104" i="39"/>
  <c r="I104" i="39"/>
  <c r="H104" i="39"/>
  <c r="F104" i="39"/>
  <c r="E104" i="39"/>
  <c r="O103" i="39"/>
  <c r="N103" i="39"/>
  <c r="L103" i="39"/>
  <c r="K103" i="39"/>
  <c r="I103" i="39"/>
  <c r="H103" i="39"/>
  <c r="F103" i="39"/>
  <c r="E103" i="39"/>
  <c r="O102" i="39"/>
  <c r="N102" i="39"/>
  <c r="L102" i="39"/>
  <c r="K102" i="39"/>
  <c r="I102" i="39"/>
  <c r="H102" i="39"/>
  <c r="F102" i="39"/>
  <c r="E102" i="39"/>
  <c r="O101" i="39"/>
  <c r="N101" i="39"/>
  <c r="L101" i="39"/>
  <c r="K101" i="39"/>
  <c r="I101" i="39"/>
  <c r="H101" i="39"/>
  <c r="F101" i="39"/>
  <c r="E101" i="39"/>
  <c r="O100" i="39"/>
  <c r="N100" i="39"/>
  <c r="L100" i="39"/>
  <c r="K100" i="39"/>
  <c r="I100" i="39"/>
  <c r="H100" i="39"/>
  <c r="F100" i="39"/>
  <c r="E100" i="39"/>
  <c r="O99" i="39"/>
  <c r="N99" i="39"/>
  <c r="L99" i="39"/>
  <c r="K99" i="39"/>
  <c r="I99" i="39"/>
  <c r="H99" i="39"/>
  <c r="F99" i="39"/>
  <c r="E99" i="39"/>
  <c r="O98" i="39"/>
  <c r="O118" i="39" s="1"/>
  <c r="N98" i="39"/>
  <c r="N118" i="39" s="1"/>
  <c r="L98" i="39"/>
  <c r="L118" i="39" s="1"/>
  <c r="K98" i="39"/>
  <c r="K118" i="39" s="1"/>
  <c r="I98" i="39"/>
  <c r="I118" i="39" s="1"/>
  <c r="H98" i="39"/>
  <c r="H118" i="39" s="1"/>
  <c r="F98" i="39"/>
  <c r="F118" i="39" s="1"/>
  <c r="E98" i="39"/>
  <c r="E118" i="39" s="1"/>
  <c r="M96" i="39"/>
  <c r="J96" i="39"/>
  <c r="G96" i="39"/>
  <c r="D96" i="39"/>
  <c r="B96" i="39"/>
  <c r="M95" i="39"/>
  <c r="G95" i="39"/>
  <c r="B91" i="39"/>
  <c r="O90" i="39"/>
  <c r="N90" i="39"/>
  <c r="L90" i="39"/>
  <c r="K90" i="39"/>
  <c r="I90" i="39"/>
  <c r="H90" i="39"/>
  <c r="F90" i="39"/>
  <c r="E90" i="39"/>
  <c r="O89" i="39"/>
  <c r="N89" i="39"/>
  <c r="L89" i="39"/>
  <c r="K89" i="39"/>
  <c r="I89" i="39"/>
  <c r="H89" i="39"/>
  <c r="F89" i="39"/>
  <c r="E89" i="39"/>
  <c r="O88" i="39"/>
  <c r="N88" i="39"/>
  <c r="L88" i="39"/>
  <c r="K88" i="39"/>
  <c r="I88" i="39"/>
  <c r="H88" i="39"/>
  <c r="F88" i="39"/>
  <c r="E88" i="39"/>
  <c r="O87" i="39"/>
  <c r="N87" i="39"/>
  <c r="L87" i="39"/>
  <c r="K87" i="39"/>
  <c r="I87" i="39"/>
  <c r="H87" i="39"/>
  <c r="F87" i="39"/>
  <c r="E87" i="39"/>
  <c r="O86" i="39"/>
  <c r="N86" i="39"/>
  <c r="L86" i="39"/>
  <c r="K86" i="39"/>
  <c r="I86" i="39"/>
  <c r="H86" i="39"/>
  <c r="F86" i="39"/>
  <c r="E86" i="39"/>
  <c r="O85" i="39"/>
  <c r="N85" i="39"/>
  <c r="L85" i="39"/>
  <c r="K85" i="39"/>
  <c r="I85" i="39"/>
  <c r="H85" i="39"/>
  <c r="F85" i="39"/>
  <c r="E85" i="39"/>
  <c r="O84" i="39"/>
  <c r="N84" i="39"/>
  <c r="L84" i="39"/>
  <c r="K84" i="39"/>
  <c r="I84" i="39"/>
  <c r="H84" i="39"/>
  <c r="F84" i="39"/>
  <c r="E84" i="39"/>
  <c r="O83" i="39"/>
  <c r="N83" i="39"/>
  <c r="L83" i="39"/>
  <c r="K83" i="39"/>
  <c r="I83" i="39"/>
  <c r="H83" i="39"/>
  <c r="F83" i="39"/>
  <c r="E83" i="39"/>
  <c r="O82" i="39"/>
  <c r="N82" i="39"/>
  <c r="L82" i="39"/>
  <c r="K82" i="39"/>
  <c r="I82" i="39"/>
  <c r="H82" i="39"/>
  <c r="F82" i="39"/>
  <c r="E82" i="39"/>
  <c r="O81" i="39"/>
  <c r="N81" i="39"/>
  <c r="L81" i="39"/>
  <c r="K81" i="39"/>
  <c r="I81" i="39"/>
  <c r="H81" i="39"/>
  <c r="F81" i="39"/>
  <c r="E81" i="39"/>
  <c r="O80" i="39"/>
  <c r="N80" i="39"/>
  <c r="L80" i="39"/>
  <c r="K80" i="39"/>
  <c r="I80" i="39"/>
  <c r="H80" i="39"/>
  <c r="F80" i="39"/>
  <c r="E80" i="39"/>
  <c r="O79" i="39"/>
  <c r="N79" i="39"/>
  <c r="L79" i="39"/>
  <c r="K79" i="39"/>
  <c r="I79" i="39"/>
  <c r="H79" i="39"/>
  <c r="F79" i="39"/>
  <c r="E79" i="39"/>
  <c r="O78" i="39"/>
  <c r="N78" i="39"/>
  <c r="L78" i="39"/>
  <c r="K78" i="39"/>
  <c r="I78" i="39"/>
  <c r="H78" i="39"/>
  <c r="F78" i="39"/>
  <c r="E78" i="39"/>
  <c r="O77" i="39"/>
  <c r="N77" i="39"/>
  <c r="L77" i="39"/>
  <c r="K77" i="39"/>
  <c r="I77" i="39"/>
  <c r="H77" i="39"/>
  <c r="F77" i="39"/>
  <c r="E77" i="39"/>
  <c r="O76" i="39"/>
  <c r="N76" i="39"/>
  <c r="L76" i="39"/>
  <c r="K76" i="39"/>
  <c r="I76" i="39"/>
  <c r="H76" i="39"/>
  <c r="F76" i="39"/>
  <c r="E76" i="39"/>
  <c r="O75" i="39"/>
  <c r="N75" i="39"/>
  <c r="L75" i="39"/>
  <c r="K75" i="39"/>
  <c r="I75" i="39"/>
  <c r="H75" i="39"/>
  <c r="F75" i="39"/>
  <c r="E75" i="39"/>
  <c r="O74" i="39"/>
  <c r="N74" i="39"/>
  <c r="L74" i="39"/>
  <c r="K74" i="39"/>
  <c r="I74" i="39"/>
  <c r="H74" i="39"/>
  <c r="F74" i="39"/>
  <c r="E74" i="39"/>
  <c r="O73" i="39"/>
  <c r="N73" i="39"/>
  <c r="L73" i="39"/>
  <c r="K73" i="39"/>
  <c r="I73" i="39"/>
  <c r="H73" i="39"/>
  <c r="F73" i="39"/>
  <c r="E73" i="39"/>
  <c r="O72" i="39"/>
  <c r="N72" i="39"/>
  <c r="L72" i="39"/>
  <c r="K72" i="39"/>
  <c r="I72" i="39"/>
  <c r="H72" i="39"/>
  <c r="F72" i="39"/>
  <c r="E72" i="39"/>
  <c r="O71" i="39"/>
  <c r="O91" i="39" s="1"/>
  <c r="N71" i="39"/>
  <c r="N91" i="39" s="1"/>
  <c r="L71" i="39"/>
  <c r="L91" i="39" s="1"/>
  <c r="K71" i="39"/>
  <c r="K91" i="39" s="1"/>
  <c r="I71" i="39"/>
  <c r="I91" i="39" s="1"/>
  <c r="H71" i="39"/>
  <c r="H91" i="39" s="1"/>
  <c r="F71" i="39"/>
  <c r="F91" i="39" s="1"/>
  <c r="E71" i="39"/>
  <c r="E91" i="39" s="1"/>
  <c r="M69" i="39"/>
  <c r="J69" i="39"/>
  <c r="G69" i="39"/>
  <c r="D69" i="39"/>
  <c r="B69" i="39"/>
  <c r="M68" i="39"/>
  <c r="G68" i="39"/>
  <c r="K64" i="39"/>
  <c r="B64" i="39"/>
  <c r="O63" i="39"/>
  <c r="N63" i="39"/>
  <c r="L63" i="39"/>
  <c r="K63" i="39"/>
  <c r="I63" i="39"/>
  <c r="H63" i="39"/>
  <c r="F63" i="39"/>
  <c r="E63" i="39"/>
  <c r="E64" i="39" s="1"/>
  <c r="O62" i="39"/>
  <c r="N62" i="39"/>
  <c r="L62" i="39"/>
  <c r="K62" i="39"/>
  <c r="I62" i="39"/>
  <c r="H62" i="39"/>
  <c r="F62" i="39"/>
  <c r="E62" i="39"/>
  <c r="O61" i="39"/>
  <c r="N61" i="39"/>
  <c r="L61" i="39"/>
  <c r="K61" i="39"/>
  <c r="I61" i="39"/>
  <c r="H61" i="39"/>
  <c r="F61" i="39"/>
  <c r="E61" i="39"/>
  <c r="O60" i="39"/>
  <c r="N60" i="39"/>
  <c r="L60" i="39"/>
  <c r="K60" i="39"/>
  <c r="I60" i="39"/>
  <c r="H60" i="39"/>
  <c r="F60" i="39"/>
  <c r="E60" i="39"/>
  <c r="O59" i="39"/>
  <c r="N59" i="39"/>
  <c r="L59" i="39"/>
  <c r="K59" i="39"/>
  <c r="I59" i="39"/>
  <c r="H59" i="39"/>
  <c r="F59" i="39"/>
  <c r="E59" i="39"/>
  <c r="O58" i="39"/>
  <c r="N58" i="39"/>
  <c r="L58" i="39"/>
  <c r="K58" i="39"/>
  <c r="I58" i="39"/>
  <c r="H58" i="39"/>
  <c r="F58" i="39"/>
  <c r="E58" i="39"/>
  <c r="O57" i="39"/>
  <c r="N57" i="39"/>
  <c r="L57" i="39"/>
  <c r="K57" i="39"/>
  <c r="I57" i="39"/>
  <c r="H57" i="39"/>
  <c r="F57" i="39"/>
  <c r="E57" i="39"/>
  <c r="O56" i="39"/>
  <c r="N56" i="39"/>
  <c r="L56" i="39"/>
  <c r="K56" i="39"/>
  <c r="I56" i="39"/>
  <c r="H56" i="39"/>
  <c r="F56" i="39"/>
  <c r="E56" i="39"/>
  <c r="O55" i="39"/>
  <c r="N55" i="39"/>
  <c r="L55" i="39"/>
  <c r="K55" i="39"/>
  <c r="I55" i="39"/>
  <c r="H55" i="39"/>
  <c r="F55" i="39"/>
  <c r="E55" i="39"/>
  <c r="O54" i="39"/>
  <c r="N54" i="39"/>
  <c r="L54" i="39"/>
  <c r="K54" i="39"/>
  <c r="I54" i="39"/>
  <c r="H54" i="39"/>
  <c r="F54" i="39"/>
  <c r="E54" i="39"/>
  <c r="O53" i="39"/>
  <c r="N53" i="39"/>
  <c r="L53" i="39"/>
  <c r="K53" i="39"/>
  <c r="I53" i="39"/>
  <c r="H53" i="39"/>
  <c r="F53" i="39"/>
  <c r="E53" i="39"/>
  <c r="O52" i="39"/>
  <c r="N52" i="39"/>
  <c r="L52" i="39"/>
  <c r="K52" i="39"/>
  <c r="I52" i="39"/>
  <c r="H52" i="39"/>
  <c r="F52" i="39"/>
  <c r="E52" i="39"/>
  <c r="O51" i="39"/>
  <c r="N51" i="39"/>
  <c r="L51" i="39"/>
  <c r="K51" i="39"/>
  <c r="I51" i="39"/>
  <c r="H51" i="39"/>
  <c r="F51" i="39"/>
  <c r="E51" i="39"/>
  <c r="O50" i="39"/>
  <c r="N50" i="39"/>
  <c r="L50" i="39"/>
  <c r="K50" i="39"/>
  <c r="I50" i="39"/>
  <c r="H50" i="39"/>
  <c r="F50" i="39"/>
  <c r="E50" i="39"/>
  <c r="O49" i="39"/>
  <c r="N49" i="39"/>
  <c r="L49" i="39"/>
  <c r="K49" i="39"/>
  <c r="I49" i="39"/>
  <c r="H49" i="39"/>
  <c r="F49" i="39"/>
  <c r="E49" i="39"/>
  <c r="O48" i="39"/>
  <c r="N48" i="39"/>
  <c r="L48" i="39"/>
  <c r="K48" i="39"/>
  <c r="I48" i="39"/>
  <c r="H48" i="39"/>
  <c r="F48" i="39"/>
  <c r="E48" i="39"/>
  <c r="O47" i="39"/>
  <c r="N47" i="39"/>
  <c r="L47" i="39"/>
  <c r="K47" i="39"/>
  <c r="I47" i="39"/>
  <c r="H47" i="39"/>
  <c r="F47" i="39"/>
  <c r="E47" i="39"/>
  <c r="O46" i="39"/>
  <c r="N46" i="39"/>
  <c r="L46" i="39"/>
  <c r="K46" i="39"/>
  <c r="I46" i="39"/>
  <c r="H46" i="39"/>
  <c r="F46" i="39"/>
  <c r="E46" i="39"/>
  <c r="O45" i="39"/>
  <c r="N45" i="39"/>
  <c r="L45" i="39"/>
  <c r="K45" i="39"/>
  <c r="I45" i="39"/>
  <c r="H45" i="39"/>
  <c r="F45" i="39"/>
  <c r="E45" i="39"/>
  <c r="O44" i="39"/>
  <c r="O64" i="39" s="1"/>
  <c r="N44" i="39"/>
  <c r="N64" i="39" s="1"/>
  <c r="L44" i="39"/>
  <c r="L64" i="39" s="1"/>
  <c r="K44" i="39"/>
  <c r="I44" i="39"/>
  <c r="I64" i="39" s="1"/>
  <c r="H44" i="39"/>
  <c r="H64" i="39" s="1"/>
  <c r="F44" i="39"/>
  <c r="F64" i="39" s="1"/>
  <c r="E44" i="39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C19" i="39"/>
  <c r="B19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C18" i="39"/>
  <c r="B18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C17" i="39"/>
  <c r="B17" i="39"/>
  <c r="M15" i="39"/>
  <c r="J15" i="39"/>
  <c r="G15" i="39"/>
  <c r="D15" i="39"/>
  <c r="B15" i="39"/>
  <c r="M14" i="39"/>
  <c r="G14" i="39"/>
  <c r="D17" i="38"/>
  <c r="B199" i="38"/>
  <c r="O198" i="38"/>
  <c r="N198" i="38"/>
  <c r="L198" i="38"/>
  <c r="K198" i="38"/>
  <c r="I198" i="38"/>
  <c r="H198" i="38"/>
  <c r="E198" i="38"/>
  <c r="F198" i="38" s="1"/>
  <c r="N197" i="38"/>
  <c r="O197" i="38" s="1"/>
  <c r="L197" i="38"/>
  <c r="K197" i="38"/>
  <c r="I197" i="38"/>
  <c r="H197" i="38"/>
  <c r="F197" i="38"/>
  <c r="E197" i="38"/>
  <c r="N196" i="38"/>
  <c r="O196" i="38" s="1"/>
  <c r="L196" i="38"/>
  <c r="K196" i="38"/>
  <c r="H196" i="38"/>
  <c r="I196" i="38" s="1"/>
  <c r="F196" i="38"/>
  <c r="E196" i="38"/>
  <c r="O195" i="38"/>
  <c r="N195" i="38"/>
  <c r="L195" i="38"/>
  <c r="K195" i="38"/>
  <c r="I195" i="38"/>
  <c r="H195" i="38"/>
  <c r="F195" i="38"/>
  <c r="E195" i="38"/>
  <c r="O194" i="38"/>
  <c r="N194" i="38"/>
  <c r="L194" i="38"/>
  <c r="K194" i="38"/>
  <c r="I194" i="38"/>
  <c r="H194" i="38"/>
  <c r="F194" i="38"/>
  <c r="E194" i="38"/>
  <c r="O193" i="38"/>
  <c r="N193" i="38"/>
  <c r="L193" i="38"/>
  <c r="K193" i="38"/>
  <c r="I193" i="38"/>
  <c r="H193" i="38"/>
  <c r="F193" i="38"/>
  <c r="E193" i="38"/>
  <c r="O192" i="38"/>
  <c r="N192" i="38"/>
  <c r="L192" i="38"/>
  <c r="K192" i="38"/>
  <c r="H192" i="38"/>
  <c r="I192" i="38" s="1"/>
  <c r="F192" i="38"/>
  <c r="E192" i="38"/>
  <c r="N191" i="38"/>
  <c r="O191" i="38" s="1"/>
  <c r="L191" i="38"/>
  <c r="K191" i="38"/>
  <c r="H191" i="38"/>
  <c r="I191" i="38" s="1"/>
  <c r="F191" i="38"/>
  <c r="E191" i="38"/>
  <c r="O190" i="38"/>
  <c r="N190" i="38"/>
  <c r="L190" i="38"/>
  <c r="K190" i="38"/>
  <c r="H190" i="38"/>
  <c r="I190" i="38" s="1"/>
  <c r="F190" i="38"/>
  <c r="E190" i="38"/>
  <c r="N189" i="38"/>
  <c r="O189" i="38" s="1"/>
  <c r="L189" i="38"/>
  <c r="K189" i="38"/>
  <c r="I189" i="38"/>
  <c r="H189" i="38"/>
  <c r="F189" i="38"/>
  <c r="E189" i="38"/>
  <c r="N188" i="38"/>
  <c r="O188" i="38" s="1"/>
  <c r="L188" i="38"/>
  <c r="K188" i="38"/>
  <c r="I188" i="38"/>
  <c r="H188" i="38"/>
  <c r="F188" i="38"/>
  <c r="E188" i="38"/>
  <c r="N187" i="38"/>
  <c r="O187" i="38" s="1"/>
  <c r="L187" i="38"/>
  <c r="K187" i="38"/>
  <c r="I187" i="38"/>
  <c r="H187" i="38"/>
  <c r="F187" i="38"/>
  <c r="E187" i="38"/>
  <c r="N186" i="38"/>
  <c r="O186" i="38" s="1"/>
  <c r="L186" i="38"/>
  <c r="K186" i="38"/>
  <c r="I186" i="38"/>
  <c r="H186" i="38"/>
  <c r="F186" i="38"/>
  <c r="E186" i="38"/>
  <c r="N185" i="38"/>
  <c r="O185" i="38" s="1"/>
  <c r="L185" i="38"/>
  <c r="K185" i="38"/>
  <c r="H185" i="38"/>
  <c r="I185" i="38" s="1"/>
  <c r="F185" i="38"/>
  <c r="E185" i="38"/>
  <c r="O184" i="38"/>
  <c r="N184" i="38"/>
  <c r="L184" i="38"/>
  <c r="K184" i="38"/>
  <c r="H184" i="38"/>
  <c r="I184" i="38" s="1"/>
  <c r="E184" i="38"/>
  <c r="F184" i="38" s="1"/>
  <c r="O183" i="38"/>
  <c r="N183" i="38"/>
  <c r="L183" i="38"/>
  <c r="K183" i="38"/>
  <c r="I183" i="38"/>
  <c r="H183" i="38"/>
  <c r="E183" i="38"/>
  <c r="F183" i="38" s="1"/>
  <c r="N182" i="38"/>
  <c r="O182" i="38" s="1"/>
  <c r="L182" i="38"/>
  <c r="K182" i="38"/>
  <c r="I182" i="38"/>
  <c r="H182" i="38"/>
  <c r="F182" i="38"/>
  <c r="E182" i="38"/>
  <c r="N181" i="38"/>
  <c r="O181" i="38" s="1"/>
  <c r="L181" i="38"/>
  <c r="K181" i="38"/>
  <c r="H181" i="38"/>
  <c r="I181" i="38" s="1"/>
  <c r="F181" i="38"/>
  <c r="E181" i="38"/>
  <c r="O180" i="38"/>
  <c r="N180" i="38"/>
  <c r="L180" i="38"/>
  <c r="K180" i="38"/>
  <c r="H180" i="38"/>
  <c r="I180" i="38" s="1"/>
  <c r="F180" i="38"/>
  <c r="E180" i="38"/>
  <c r="N179" i="38"/>
  <c r="L179" i="38"/>
  <c r="L199" i="38" s="1"/>
  <c r="K179" i="38"/>
  <c r="K199" i="38" s="1"/>
  <c r="I179" i="38"/>
  <c r="H179" i="38"/>
  <c r="F179" i="38"/>
  <c r="E179" i="38"/>
  <c r="M177" i="38"/>
  <c r="J177" i="38"/>
  <c r="G177" i="38"/>
  <c r="D177" i="38"/>
  <c r="B177" i="38"/>
  <c r="M176" i="38"/>
  <c r="G176" i="38"/>
  <c r="B172" i="38"/>
  <c r="N171" i="38"/>
  <c r="O171" i="38" s="1"/>
  <c r="L171" i="38"/>
  <c r="K171" i="38"/>
  <c r="H171" i="38"/>
  <c r="I171" i="38" s="1"/>
  <c r="F171" i="38"/>
  <c r="E171" i="38"/>
  <c r="O170" i="38"/>
  <c r="N170" i="38"/>
  <c r="L170" i="38"/>
  <c r="K170" i="38"/>
  <c r="H170" i="38"/>
  <c r="I170" i="38" s="1"/>
  <c r="E170" i="38"/>
  <c r="F170" i="38" s="1"/>
  <c r="N169" i="38"/>
  <c r="O169" i="38" s="1"/>
  <c r="L169" i="38"/>
  <c r="K169" i="38"/>
  <c r="I169" i="38"/>
  <c r="H169" i="38"/>
  <c r="F169" i="38"/>
  <c r="E169" i="38"/>
  <c r="N168" i="38"/>
  <c r="O168" i="38" s="1"/>
  <c r="L168" i="38"/>
  <c r="K168" i="38"/>
  <c r="I168" i="38"/>
  <c r="H168" i="38"/>
  <c r="F168" i="38"/>
  <c r="E168" i="38"/>
  <c r="N167" i="38"/>
  <c r="L167" i="38"/>
  <c r="K167" i="38"/>
  <c r="H167" i="38"/>
  <c r="I167" i="38" s="1"/>
  <c r="I29" i="38" s="1"/>
  <c r="F167" i="38"/>
  <c r="E167" i="38"/>
  <c r="N166" i="38"/>
  <c r="O166" i="38" s="1"/>
  <c r="L166" i="38"/>
  <c r="K166" i="38"/>
  <c r="H166" i="38"/>
  <c r="I166" i="38" s="1"/>
  <c r="F166" i="38"/>
  <c r="E166" i="38"/>
  <c r="O165" i="38"/>
  <c r="N165" i="38"/>
  <c r="L165" i="38"/>
  <c r="K165" i="38"/>
  <c r="H165" i="38"/>
  <c r="I165" i="38" s="1"/>
  <c r="F165" i="38"/>
  <c r="E165" i="38"/>
  <c r="N164" i="38"/>
  <c r="O164" i="38" s="1"/>
  <c r="L164" i="38"/>
  <c r="K164" i="38"/>
  <c r="H164" i="38"/>
  <c r="I164" i="38" s="1"/>
  <c r="I27" i="38" s="1"/>
  <c r="F164" i="38"/>
  <c r="E164" i="38"/>
  <c r="N163" i="38"/>
  <c r="O163" i="38" s="1"/>
  <c r="O18" i="38" s="1"/>
  <c r="L163" i="38"/>
  <c r="K163" i="38"/>
  <c r="H163" i="38"/>
  <c r="I163" i="38" s="1"/>
  <c r="I18" i="38" s="1"/>
  <c r="F163" i="38"/>
  <c r="E163" i="38"/>
  <c r="N162" i="38"/>
  <c r="O162" i="38" s="1"/>
  <c r="O28" i="38" s="1"/>
  <c r="L162" i="38"/>
  <c r="K162" i="38"/>
  <c r="H162" i="38"/>
  <c r="I162" i="38" s="1"/>
  <c r="I28" i="38" s="1"/>
  <c r="F162" i="38"/>
  <c r="E162" i="38"/>
  <c r="O161" i="38"/>
  <c r="N161" i="38"/>
  <c r="K161" i="38"/>
  <c r="L161" i="38" s="1"/>
  <c r="H161" i="38"/>
  <c r="I161" i="38" s="1"/>
  <c r="F161" i="38"/>
  <c r="E161" i="38"/>
  <c r="N160" i="38"/>
  <c r="O160" i="38" s="1"/>
  <c r="K160" i="38"/>
  <c r="L160" i="38" s="1"/>
  <c r="H160" i="38"/>
  <c r="I160" i="38" s="1"/>
  <c r="F160" i="38"/>
  <c r="E160" i="38"/>
  <c r="O159" i="38"/>
  <c r="N159" i="38"/>
  <c r="L159" i="38"/>
  <c r="K159" i="38"/>
  <c r="H159" i="38"/>
  <c r="I159" i="38" s="1"/>
  <c r="I20" i="38" s="1"/>
  <c r="F159" i="38"/>
  <c r="E159" i="38"/>
  <c r="N158" i="38"/>
  <c r="O158" i="38" s="1"/>
  <c r="O21" i="38" s="1"/>
  <c r="L158" i="38"/>
  <c r="L22" i="38" s="1"/>
  <c r="K158" i="38"/>
  <c r="H158" i="38"/>
  <c r="I158" i="38" s="1"/>
  <c r="I21" i="38" s="1"/>
  <c r="F158" i="38"/>
  <c r="E158" i="38"/>
  <c r="N157" i="38"/>
  <c r="N25" i="38" s="1"/>
  <c r="K157" i="38"/>
  <c r="L157" i="38" s="1"/>
  <c r="H157" i="38"/>
  <c r="I157" i="38" s="1"/>
  <c r="I24" i="38" s="1"/>
  <c r="F157" i="38"/>
  <c r="E157" i="38"/>
  <c r="O156" i="38"/>
  <c r="N156" i="38"/>
  <c r="K156" i="38"/>
  <c r="L156" i="38" s="1"/>
  <c r="H156" i="38"/>
  <c r="F156" i="38"/>
  <c r="E156" i="38"/>
  <c r="N155" i="38"/>
  <c r="N33" i="38" s="1"/>
  <c r="L155" i="38"/>
  <c r="K155" i="38"/>
  <c r="H155" i="38"/>
  <c r="I155" i="38" s="1"/>
  <c r="I31" i="38" s="1"/>
  <c r="F155" i="38"/>
  <c r="E155" i="38"/>
  <c r="N154" i="38"/>
  <c r="O154" i="38" s="1"/>
  <c r="L154" i="38"/>
  <c r="K154" i="38"/>
  <c r="H154" i="38"/>
  <c r="I154" i="38" s="1"/>
  <c r="F154" i="38"/>
  <c r="E154" i="38"/>
  <c r="O153" i="38"/>
  <c r="O33" i="38" s="1"/>
  <c r="N153" i="38"/>
  <c r="N35" i="38" s="1"/>
  <c r="K153" i="38"/>
  <c r="L153" i="38" s="1"/>
  <c r="L33" i="38" s="1"/>
  <c r="H153" i="38"/>
  <c r="I153" i="38" s="1"/>
  <c r="I33" i="38" s="1"/>
  <c r="F153" i="38"/>
  <c r="F35" i="38" s="1"/>
  <c r="E153" i="38"/>
  <c r="N152" i="38"/>
  <c r="K152" i="38"/>
  <c r="H152" i="38"/>
  <c r="F152" i="38"/>
  <c r="E152" i="38"/>
  <c r="E172" i="38" s="1"/>
  <c r="M150" i="38"/>
  <c r="J150" i="38"/>
  <c r="G150" i="38"/>
  <c r="D150" i="38"/>
  <c r="B150" i="38"/>
  <c r="M149" i="38"/>
  <c r="G149" i="38"/>
  <c r="B145" i="38"/>
  <c r="O144" i="38"/>
  <c r="N144" i="38"/>
  <c r="L144" i="38"/>
  <c r="K144" i="38"/>
  <c r="H144" i="38"/>
  <c r="I144" i="38" s="1"/>
  <c r="F144" i="38"/>
  <c r="E144" i="38"/>
  <c r="N143" i="38"/>
  <c r="O143" i="38" s="1"/>
  <c r="L143" i="38"/>
  <c r="K143" i="38"/>
  <c r="H143" i="38"/>
  <c r="I143" i="38" s="1"/>
  <c r="F143" i="38"/>
  <c r="E143" i="38"/>
  <c r="N142" i="38"/>
  <c r="O142" i="38" s="1"/>
  <c r="K142" i="38"/>
  <c r="L142" i="38" s="1"/>
  <c r="H142" i="38"/>
  <c r="I142" i="38" s="1"/>
  <c r="F142" i="38"/>
  <c r="E142" i="38"/>
  <c r="O141" i="38"/>
  <c r="N141" i="38"/>
  <c r="K141" i="38"/>
  <c r="L141" i="38" s="1"/>
  <c r="H141" i="38"/>
  <c r="I141" i="38" s="1"/>
  <c r="F141" i="38"/>
  <c r="E141" i="38"/>
  <c r="N140" i="38"/>
  <c r="O140" i="38" s="1"/>
  <c r="K140" i="38"/>
  <c r="L140" i="38" s="1"/>
  <c r="H140" i="38"/>
  <c r="I140" i="38" s="1"/>
  <c r="F140" i="38"/>
  <c r="E140" i="38"/>
  <c r="O139" i="38"/>
  <c r="N139" i="38"/>
  <c r="L139" i="38"/>
  <c r="K139" i="38"/>
  <c r="H139" i="38"/>
  <c r="I139" i="38" s="1"/>
  <c r="F139" i="38"/>
  <c r="E139" i="38"/>
  <c r="N138" i="38"/>
  <c r="O138" i="38" s="1"/>
  <c r="K138" i="38"/>
  <c r="L138" i="38" s="1"/>
  <c r="H138" i="38"/>
  <c r="I138" i="38" s="1"/>
  <c r="F138" i="38"/>
  <c r="E138" i="38"/>
  <c r="O137" i="38"/>
  <c r="N137" i="38"/>
  <c r="K137" i="38"/>
  <c r="L137" i="38" s="1"/>
  <c r="H137" i="38"/>
  <c r="I137" i="38" s="1"/>
  <c r="F137" i="38"/>
  <c r="E137" i="38"/>
  <c r="N136" i="38"/>
  <c r="O136" i="38" s="1"/>
  <c r="K136" i="38"/>
  <c r="L136" i="38" s="1"/>
  <c r="H136" i="38"/>
  <c r="I136" i="38" s="1"/>
  <c r="F136" i="38"/>
  <c r="E136" i="38"/>
  <c r="O135" i="38"/>
  <c r="N135" i="38"/>
  <c r="L135" i="38"/>
  <c r="K135" i="38"/>
  <c r="H135" i="38"/>
  <c r="I135" i="38" s="1"/>
  <c r="F135" i="38"/>
  <c r="E135" i="38"/>
  <c r="O134" i="38"/>
  <c r="N134" i="38"/>
  <c r="K134" i="38"/>
  <c r="L134" i="38" s="1"/>
  <c r="H134" i="38"/>
  <c r="I134" i="38" s="1"/>
  <c r="F134" i="38"/>
  <c r="E134" i="38"/>
  <c r="N133" i="38"/>
  <c r="O133" i="38" s="1"/>
  <c r="K133" i="38"/>
  <c r="L133" i="38" s="1"/>
  <c r="H133" i="38"/>
  <c r="I133" i="38" s="1"/>
  <c r="F133" i="38"/>
  <c r="E133" i="38"/>
  <c r="O132" i="38"/>
  <c r="N132" i="38"/>
  <c r="K132" i="38"/>
  <c r="L132" i="38" s="1"/>
  <c r="H132" i="38"/>
  <c r="I132" i="38" s="1"/>
  <c r="F132" i="38"/>
  <c r="E132" i="38"/>
  <c r="N131" i="38"/>
  <c r="O131" i="38" s="1"/>
  <c r="L131" i="38"/>
  <c r="K131" i="38"/>
  <c r="H131" i="38"/>
  <c r="I131" i="38" s="1"/>
  <c r="F131" i="38"/>
  <c r="E131" i="38"/>
  <c r="O130" i="38"/>
  <c r="N130" i="38"/>
  <c r="K130" i="38"/>
  <c r="L130" i="38" s="1"/>
  <c r="H130" i="38"/>
  <c r="I130" i="38" s="1"/>
  <c r="F130" i="38"/>
  <c r="E130" i="38"/>
  <c r="N129" i="38"/>
  <c r="O129" i="38" s="1"/>
  <c r="K129" i="38"/>
  <c r="L129" i="38" s="1"/>
  <c r="H129" i="38"/>
  <c r="I129" i="38" s="1"/>
  <c r="F129" i="38"/>
  <c r="E129" i="38"/>
  <c r="O128" i="38"/>
  <c r="N128" i="38"/>
  <c r="K128" i="38"/>
  <c r="L128" i="38" s="1"/>
  <c r="H128" i="38"/>
  <c r="I128" i="38" s="1"/>
  <c r="F128" i="38"/>
  <c r="E128" i="38"/>
  <c r="N127" i="38"/>
  <c r="O127" i="38" s="1"/>
  <c r="L127" i="38"/>
  <c r="K127" i="38"/>
  <c r="H127" i="38"/>
  <c r="I127" i="38" s="1"/>
  <c r="F127" i="38"/>
  <c r="E127" i="38"/>
  <c r="N126" i="38"/>
  <c r="O126" i="38" s="1"/>
  <c r="K126" i="38"/>
  <c r="L126" i="38" s="1"/>
  <c r="H126" i="38"/>
  <c r="I126" i="38" s="1"/>
  <c r="F126" i="38"/>
  <c r="E126" i="38"/>
  <c r="O125" i="38"/>
  <c r="N125" i="38"/>
  <c r="K125" i="38"/>
  <c r="H125" i="38"/>
  <c r="H145" i="38" s="1"/>
  <c r="F125" i="38"/>
  <c r="F145" i="38" s="1"/>
  <c r="E125" i="38"/>
  <c r="E145" i="38" s="1"/>
  <c r="M123" i="38"/>
  <c r="J123" i="38"/>
  <c r="G123" i="38"/>
  <c r="D123" i="38"/>
  <c r="B123" i="38"/>
  <c r="M122" i="38"/>
  <c r="G122" i="38"/>
  <c r="B118" i="38"/>
  <c r="N117" i="38"/>
  <c r="O117" i="38" s="1"/>
  <c r="K117" i="38"/>
  <c r="L117" i="38" s="1"/>
  <c r="H117" i="38"/>
  <c r="I117" i="38" s="1"/>
  <c r="F117" i="38"/>
  <c r="E117" i="38"/>
  <c r="O116" i="38"/>
  <c r="N116" i="38"/>
  <c r="L116" i="38"/>
  <c r="K116" i="38"/>
  <c r="H116" i="38"/>
  <c r="I116" i="38" s="1"/>
  <c r="F116" i="38"/>
  <c r="E116" i="38"/>
  <c r="N115" i="38"/>
  <c r="O115" i="38" s="1"/>
  <c r="K115" i="38"/>
  <c r="L115" i="38" s="1"/>
  <c r="H115" i="38"/>
  <c r="I115" i="38" s="1"/>
  <c r="F115" i="38"/>
  <c r="E115" i="38"/>
  <c r="O114" i="38"/>
  <c r="N114" i="38"/>
  <c r="L114" i="38"/>
  <c r="K114" i="38"/>
  <c r="H114" i="38"/>
  <c r="I114" i="38" s="1"/>
  <c r="F114" i="38"/>
  <c r="E114" i="38"/>
  <c r="O113" i="38"/>
  <c r="N113" i="38"/>
  <c r="K113" i="38"/>
  <c r="L113" i="38" s="1"/>
  <c r="H113" i="38"/>
  <c r="I113" i="38" s="1"/>
  <c r="F113" i="38"/>
  <c r="E113" i="38"/>
  <c r="N112" i="38"/>
  <c r="O112" i="38" s="1"/>
  <c r="L112" i="38"/>
  <c r="K112" i="38"/>
  <c r="H112" i="38"/>
  <c r="I112" i="38" s="1"/>
  <c r="E112" i="38"/>
  <c r="F112" i="38" s="1"/>
  <c r="O111" i="38"/>
  <c r="N111" i="38"/>
  <c r="L111" i="38"/>
  <c r="K111" i="38"/>
  <c r="H111" i="38"/>
  <c r="I111" i="38" s="1"/>
  <c r="E111" i="38"/>
  <c r="F111" i="38" s="1"/>
  <c r="N110" i="38"/>
  <c r="O110" i="38" s="1"/>
  <c r="L110" i="38"/>
  <c r="K110" i="38"/>
  <c r="H110" i="38"/>
  <c r="I110" i="38" s="1"/>
  <c r="F110" i="38"/>
  <c r="E110" i="38"/>
  <c r="O109" i="38"/>
  <c r="N109" i="38"/>
  <c r="K109" i="38"/>
  <c r="L109" i="38" s="1"/>
  <c r="H109" i="38"/>
  <c r="I109" i="38" s="1"/>
  <c r="F109" i="38"/>
  <c r="E109" i="38"/>
  <c r="N108" i="38"/>
  <c r="O108" i="38" s="1"/>
  <c r="L108" i="38"/>
  <c r="K108" i="38"/>
  <c r="H108" i="38"/>
  <c r="I108" i="38" s="1"/>
  <c r="F108" i="38"/>
  <c r="E108" i="38"/>
  <c r="N107" i="38"/>
  <c r="O107" i="38" s="1"/>
  <c r="K107" i="38"/>
  <c r="L107" i="38" s="1"/>
  <c r="H107" i="38"/>
  <c r="I107" i="38" s="1"/>
  <c r="E107" i="38"/>
  <c r="F107" i="38" s="1"/>
  <c r="N106" i="38"/>
  <c r="O106" i="38" s="1"/>
  <c r="K106" i="38"/>
  <c r="L106" i="38" s="1"/>
  <c r="H106" i="38"/>
  <c r="I106" i="38" s="1"/>
  <c r="F106" i="38"/>
  <c r="E106" i="38"/>
  <c r="O105" i="38"/>
  <c r="N105" i="38"/>
  <c r="L105" i="38"/>
  <c r="K105" i="38"/>
  <c r="H105" i="38"/>
  <c r="I105" i="38" s="1"/>
  <c r="F105" i="38"/>
  <c r="E105" i="38"/>
  <c r="O104" i="38"/>
  <c r="N104" i="38"/>
  <c r="K104" i="38"/>
  <c r="L104" i="38" s="1"/>
  <c r="H104" i="38"/>
  <c r="I104" i="38" s="1"/>
  <c r="E104" i="38"/>
  <c r="F104" i="38" s="1"/>
  <c r="O103" i="38"/>
  <c r="N103" i="38"/>
  <c r="K103" i="38"/>
  <c r="L103" i="38" s="1"/>
  <c r="H103" i="38"/>
  <c r="I103" i="38" s="1"/>
  <c r="E103" i="38"/>
  <c r="F103" i="38" s="1"/>
  <c r="N102" i="38"/>
  <c r="O102" i="38" s="1"/>
  <c r="K102" i="38"/>
  <c r="L102" i="38" s="1"/>
  <c r="H102" i="38"/>
  <c r="I102" i="38" s="1"/>
  <c r="F102" i="38"/>
  <c r="E102" i="38"/>
  <c r="O101" i="38"/>
  <c r="N101" i="38"/>
  <c r="L101" i="38"/>
  <c r="K101" i="38"/>
  <c r="H101" i="38"/>
  <c r="I101" i="38" s="1"/>
  <c r="E101" i="38"/>
  <c r="F101" i="38" s="1"/>
  <c r="N100" i="38"/>
  <c r="O100" i="38" s="1"/>
  <c r="L100" i="38"/>
  <c r="K100" i="38"/>
  <c r="H100" i="38"/>
  <c r="I100" i="38" s="1"/>
  <c r="F100" i="38"/>
  <c r="E100" i="38"/>
  <c r="O99" i="38"/>
  <c r="N99" i="38"/>
  <c r="K99" i="38"/>
  <c r="L99" i="38" s="1"/>
  <c r="H99" i="38"/>
  <c r="I99" i="38" s="1"/>
  <c r="F99" i="38"/>
  <c r="E99" i="38"/>
  <c r="N98" i="38"/>
  <c r="N118" i="38" s="1"/>
  <c r="L98" i="38"/>
  <c r="K98" i="38"/>
  <c r="H98" i="38"/>
  <c r="F98" i="38"/>
  <c r="E98" i="38"/>
  <c r="M96" i="38"/>
  <c r="J96" i="38"/>
  <c r="G96" i="38"/>
  <c r="D96" i="38"/>
  <c r="B96" i="38"/>
  <c r="M95" i="38"/>
  <c r="G95" i="38"/>
  <c r="B91" i="38"/>
  <c r="N90" i="38"/>
  <c r="O90" i="38" s="1"/>
  <c r="K90" i="38"/>
  <c r="L90" i="38" s="1"/>
  <c r="H90" i="38"/>
  <c r="I90" i="38" s="1"/>
  <c r="F90" i="38"/>
  <c r="E90" i="38"/>
  <c r="O89" i="38"/>
  <c r="O32" i="38" s="1"/>
  <c r="N89" i="38"/>
  <c r="L89" i="38"/>
  <c r="K89" i="38"/>
  <c r="H89" i="38"/>
  <c r="I89" i="38" s="1"/>
  <c r="I32" i="38" s="1"/>
  <c r="F89" i="38"/>
  <c r="E89" i="38"/>
  <c r="N88" i="38"/>
  <c r="O88" i="38" s="1"/>
  <c r="L88" i="38"/>
  <c r="K88" i="38"/>
  <c r="H88" i="38"/>
  <c r="I88" i="38" s="1"/>
  <c r="F88" i="38"/>
  <c r="E88" i="38"/>
  <c r="N87" i="38"/>
  <c r="O87" i="38" s="1"/>
  <c r="O19" i="38" s="1"/>
  <c r="K87" i="38"/>
  <c r="L87" i="38" s="1"/>
  <c r="L19" i="38" s="1"/>
  <c r="H87" i="38"/>
  <c r="F87" i="38"/>
  <c r="E87" i="38"/>
  <c r="O86" i="38"/>
  <c r="O17" i="38" s="1"/>
  <c r="N86" i="38"/>
  <c r="N17" i="38" s="1"/>
  <c r="K86" i="38"/>
  <c r="L86" i="38" s="1"/>
  <c r="L17" i="38" s="1"/>
  <c r="H86" i="38"/>
  <c r="I86" i="38" s="1"/>
  <c r="I17" i="38" s="1"/>
  <c r="F86" i="38"/>
  <c r="E86" i="38"/>
  <c r="N85" i="38"/>
  <c r="O85" i="38" s="1"/>
  <c r="L85" i="38"/>
  <c r="K85" i="38"/>
  <c r="H85" i="38"/>
  <c r="I85" i="38" s="1"/>
  <c r="F85" i="38"/>
  <c r="E85" i="38"/>
  <c r="N84" i="38"/>
  <c r="O84" i="38" s="1"/>
  <c r="L84" i="38"/>
  <c r="K84" i="38"/>
  <c r="H84" i="38"/>
  <c r="I84" i="38" s="1"/>
  <c r="F84" i="38"/>
  <c r="E84" i="38"/>
  <c r="O83" i="38"/>
  <c r="O25" i="38" s="1"/>
  <c r="N83" i="38"/>
  <c r="K83" i="38"/>
  <c r="L83" i="38" s="1"/>
  <c r="L25" i="38" s="1"/>
  <c r="H83" i="38"/>
  <c r="I83" i="38" s="1"/>
  <c r="I25" i="38" s="1"/>
  <c r="F83" i="38"/>
  <c r="E83" i="38"/>
  <c r="N82" i="38"/>
  <c r="O82" i="38" s="1"/>
  <c r="K82" i="38"/>
  <c r="L82" i="38" s="1"/>
  <c r="H82" i="38"/>
  <c r="I82" i="38" s="1"/>
  <c r="F82" i="38"/>
  <c r="E82" i="38"/>
  <c r="O81" i="38"/>
  <c r="N81" i="38"/>
  <c r="L81" i="38"/>
  <c r="K81" i="38"/>
  <c r="H81" i="38"/>
  <c r="I81" i="38" s="1"/>
  <c r="F81" i="38"/>
  <c r="E81" i="38"/>
  <c r="N80" i="38"/>
  <c r="O80" i="38" s="1"/>
  <c r="L80" i="38"/>
  <c r="K80" i="38"/>
  <c r="H80" i="38"/>
  <c r="I80" i="38" s="1"/>
  <c r="F80" i="38"/>
  <c r="E80" i="38"/>
  <c r="N79" i="38"/>
  <c r="K79" i="38"/>
  <c r="L79" i="38" s="1"/>
  <c r="L26" i="38" s="1"/>
  <c r="H79" i="38"/>
  <c r="I79" i="38" s="1"/>
  <c r="F79" i="38"/>
  <c r="E79" i="38"/>
  <c r="O78" i="38"/>
  <c r="N78" i="38"/>
  <c r="K78" i="38"/>
  <c r="L78" i="38" s="1"/>
  <c r="H78" i="38"/>
  <c r="I78" i="38" s="1"/>
  <c r="F78" i="38"/>
  <c r="E78" i="38"/>
  <c r="N77" i="38"/>
  <c r="O77" i="38" s="1"/>
  <c r="L77" i="38"/>
  <c r="K77" i="38"/>
  <c r="H77" i="38"/>
  <c r="I77" i="38" s="1"/>
  <c r="F77" i="38"/>
  <c r="E77" i="38"/>
  <c r="N76" i="38"/>
  <c r="O76" i="38" s="1"/>
  <c r="L76" i="38"/>
  <c r="K76" i="38"/>
  <c r="H76" i="38"/>
  <c r="I76" i="38" s="1"/>
  <c r="F76" i="38"/>
  <c r="E76" i="38"/>
  <c r="O75" i="38"/>
  <c r="N75" i="38"/>
  <c r="K75" i="38"/>
  <c r="L75" i="38" s="1"/>
  <c r="H75" i="38"/>
  <c r="I75" i="38" s="1"/>
  <c r="F75" i="38"/>
  <c r="E75" i="38"/>
  <c r="N74" i="38"/>
  <c r="O74" i="38" s="1"/>
  <c r="K74" i="38"/>
  <c r="L74" i="38" s="1"/>
  <c r="H74" i="38"/>
  <c r="I74" i="38" s="1"/>
  <c r="F74" i="38"/>
  <c r="E74" i="38"/>
  <c r="O73" i="38"/>
  <c r="O22" i="38" s="1"/>
  <c r="N73" i="38"/>
  <c r="N23" i="38" s="1"/>
  <c r="L73" i="38"/>
  <c r="K73" i="38"/>
  <c r="H73" i="38"/>
  <c r="I73" i="38" s="1"/>
  <c r="I22" i="38" s="1"/>
  <c r="F73" i="38"/>
  <c r="E73" i="38"/>
  <c r="N72" i="38"/>
  <c r="O72" i="38" s="1"/>
  <c r="L72" i="38"/>
  <c r="K72" i="38"/>
  <c r="H72" i="38"/>
  <c r="I72" i="38" s="1"/>
  <c r="F72" i="38"/>
  <c r="E72" i="38"/>
  <c r="N71" i="38"/>
  <c r="K71" i="38"/>
  <c r="K91" i="38" s="1"/>
  <c r="H71" i="38"/>
  <c r="I71" i="38" s="1"/>
  <c r="F71" i="38"/>
  <c r="E71" i="38"/>
  <c r="M69" i="38"/>
  <c r="J69" i="38"/>
  <c r="G69" i="38"/>
  <c r="D69" i="38"/>
  <c r="B69" i="38"/>
  <c r="M68" i="38"/>
  <c r="G68" i="38"/>
  <c r="B64" i="38"/>
  <c r="O63" i="38"/>
  <c r="O30" i="38" s="1"/>
  <c r="N63" i="38"/>
  <c r="K63" i="38"/>
  <c r="L63" i="38" s="1"/>
  <c r="H63" i="38"/>
  <c r="I63" i="38" s="1"/>
  <c r="I30" i="38" s="1"/>
  <c r="F63" i="38"/>
  <c r="E63" i="38"/>
  <c r="N62" i="38"/>
  <c r="O62" i="38" s="1"/>
  <c r="L62" i="38"/>
  <c r="K62" i="38"/>
  <c r="H62" i="38"/>
  <c r="I62" i="38" s="1"/>
  <c r="F62" i="38"/>
  <c r="E62" i="38"/>
  <c r="O61" i="38"/>
  <c r="O36" i="38" s="1"/>
  <c r="N61" i="38"/>
  <c r="K61" i="38"/>
  <c r="L61" i="38" s="1"/>
  <c r="L34" i="38" s="1"/>
  <c r="H61" i="38"/>
  <c r="I61" i="38" s="1"/>
  <c r="I36" i="38" s="1"/>
  <c r="F61" i="38"/>
  <c r="F34" i="38" s="1"/>
  <c r="E61" i="38"/>
  <c r="E36" i="38" s="1"/>
  <c r="N60" i="38"/>
  <c r="O60" i="38" s="1"/>
  <c r="L60" i="38"/>
  <c r="K60" i="38"/>
  <c r="H60" i="38"/>
  <c r="I60" i="38" s="1"/>
  <c r="F60" i="38"/>
  <c r="E60" i="38"/>
  <c r="N59" i="38"/>
  <c r="O59" i="38" s="1"/>
  <c r="K59" i="38"/>
  <c r="L59" i="38" s="1"/>
  <c r="H59" i="38"/>
  <c r="I59" i="38" s="1"/>
  <c r="F59" i="38"/>
  <c r="E59" i="38"/>
  <c r="O58" i="38"/>
  <c r="N58" i="38"/>
  <c r="L58" i="38"/>
  <c r="K58" i="38"/>
  <c r="H58" i="38"/>
  <c r="I58" i="38" s="1"/>
  <c r="F58" i="38"/>
  <c r="E58" i="38"/>
  <c r="N57" i="38"/>
  <c r="O57" i="38" s="1"/>
  <c r="L57" i="38"/>
  <c r="K57" i="38"/>
  <c r="H57" i="38"/>
  <c r="I57" i="38" s="1"/>
  <c r="F57" i="38"/>
  <c r="E57" i="38"/>
  <c r="N56" i="38"/>
  <c r="O56" i="38" s="1"/>
  <c r="L56" i="38"/>
  <c r="K56" i="38"/>
  <c r="H56" i="38"/>
  <c r="I56" i="38" s="1"/>
  <c r="F56" i="38"/>
  <c r="E56" i="38"/>
  <c r="O55" i="38"/>
  <c r="N55" i="38"/>
  <c r="K55" i="38"/>
  <c r="L55" i="38" s="1"/>
  <c r="H55" i="38"/>
  <c r="I55" i="38" s="1"/>
  <c r="F55" i="38"/>
  <c r="E55" i="38"/>
  <c r="N54" i="38"/>
  <c r="O54" i="38" s="1"/>
  <c r="L54" i="38"/>
  <c r="K54" i="38"/>
  <c r="H54" i="38"/>
  <c r="I54" i="38" s="1"/>
  <c r="F54" i="38"/>
  <c r="E54" i="38"/>
  <c r="N53" i="38"/>
  <c r="O53" i="38" s="1"/>
  <c r="L53" i="38"/>
  <c r="K53" i="38"/>
  <c r="H53" i="38"/>
  <c r="I53" i="38" s="1"/>
  <c r="F53" i="38"/>
  <c r="E53" i="38"/>
  <c r="O52" i="38"/>
  <c r="N52" i="38"/>
  <c r="L52" i="38"/>
  <c r="K52" i="38"/>
  <c r="H52" i="38"/>
  <c r="I52" i="38" s="1"/>
  <c r="F52" i="38"/>
  <c r="E52" i="38"/>
  <c r="O51" i="38"/>
  <c r="N51" i="38"/>
  <c r="K51" i="38"/>
  <c r="L51" i="38" s="1"/>
  <c r="H51" i="38"/>
  <c r="I51" i="38" s="1"/>
  <c r="F51" i="38"/>
  <c r="E51" i="38"/>
  <c r="N50" i="38"/>
  <c r="O50" i="38" s="1"/>
  <c r="L50" i="38"/>
  <c r="K50" i="38"/>
  <c r="H50" i="38"/>
  <c r="I50" i="38" s="1"/>
  <c r="F50" i="38"/>
  <c r="E50" i="38"/>
  <c r="O49" i="38"/>
  <c r="N49" i="38"/>
  <c r="L49" i="38"/>
  <c r="K49" i="38"/>
  <c r="H49" i="38"/>
  <c r="I49" i="38" s="1"/>
  <c r="F49" i="38"/>
  <c r="E49" i="38"/>
  <c r="O48" i="38"/>
  <c r="N48" i="38"/>
  <c r="L48" i="38"/>
  <c r="K48" i="38"/>
  <c r="H48" i="38"/>
  <c r="I48" i="38" s="1"/>
  <c r="F48" i="38"/>
  <c r="E48" i="38"/>
  <c r="N47" i="38"/>
  <c r="O47" i="38" s="1"/>
  <c r="K47" i="38"/>
  <c r="L47" i="38" s="1"/>
  <c r="H47" i="38"/>
  <c r="I47" i="38" s="1"/>
  <c r="F47" i="38"/>
  <c r="E47" i="38"/>
  <c r="O46" i="38"/>
  <c r="N46" i="38"/>
  <c r="L46" i="38"/>
  <c r="K46" i="38"/>
  <c r="H46" i="38"/>
  <c r="I46" i="38" s="1"/>
  <c r="F46" i="38"/>
  <c r="E46" i="38"/>
  <c r="O45" i="38"/>
  <c r="N45" i="38"/>
  <c r="L45" i="38"/>
  <c r="K45" i="38"/>
  <c r="H45" i="38"/>
  <c r="I45" i="38" s="1"/>
  <c r="F45" i="38"/>
  <c r="E45" i="38"/>
  <c r="N44" i="38"/>
  <c r="N64" i="38" s="1"/>
  <c r="L44" i="38"/>
  <c r="K44" i="38"/>
  <c r="H44" i="38"/>
  <c r="F44" i="38"/>
  <c r="E44" i="38"/>
  <c r="E64" i="38" s="1"/>
  <c r="M42" i="38"/>
  <c r="J42" i="38"/>
  <c r="G42" i="38"/>
  <c r="D42" i="38"/>
  <c r="B42" i="38"/>
  <c r="M41" i="38"/>
  <c r="G41" i="38"/>
  <c r="N36" i="38"/>
  <c r="M36" i="38"/>
  <c r="L36" i="38"/>
  <c r="K36" i="38"/>
  <c r="J36" i="38"/>
  <c r="H36" i="38"/>
  <c r="G36" i="38"/>
  <c r="F36" i="38"/>
  <c r="D36" i="38"/>
  <c r="C36" i="38"/>
  <c r="B36" i="38"/>
  <c r="O35" i="38"/>
  <c r="M35" i="38"/>
  <c r="L35" i="38"/>
  <c r="K35" i="38"/>
  <c r="J35" i="38"/>
  <c r="I35" i="38"/>
  <c r="H35" i="38"/>
  <c r="G35" i="38"/>
  <c r="E35" i="38"/>
  <c r="D35" i="38"/>
  <c r="C35" i="38"/>
  <c r="B35" i="38"/>
  <c r="O34" i="38"/>
  <c r="N34" i="38"/>
  <c r="M34" i="38"/>
  <c r="J34" i="38"/>
  <c r="G34" i="38"/>
  <c r="E34" i="38"/>
  <c r="D34" i="38"/>
  <c r="C34" i="38"/>
  <c r="B34" i="38"/>
  <c r="M33" i="38"/>
  <c r="J33" i="38"/>
  <c r="G33" i="38"/>
  <c r="E33" i="38"/>
  <c r="D33" i="38"/>
  <c r="C33" i="38"/>
  <c r="B33" i="38"/>
  <c r="N32" i="38"/>
  <c r="M32" i="38"/>
  <c r="L32" i="38"/>
  <c r="K32" i="38"/>
  <c r="J32" i="38"/>
  <c r="H32" i="38"/>
  <c r="G32" i="38"/>
  <c r="F32" i="38"/>
  <c r="E32" i="38"/>
  <c r="D32" i="38"/>
  <c r="C32" i="38"/>
  <c r="B32" i="38"/>
  <c r="M31" i="38"/>
  <c r="L31" i="38"/>
  <c r="K31" i="38"/>
  <c r="J31" i="38"/>
  <c r="H31" i="38"/>
  <c r="G31" i="38"/>
  <c r="E31" i="38"/>
  <c r="D31" i="38"/>
  <c r="C31" i="38"/>
  <c r="B31" i="38"/>
  <c r="N30" i="38"/>
  <c r="M30" i="38"/>
  <c r="J30" i="38"/>
  <c r="G30" i="38"/>
  <c r="F30" i="38"/>
  <c r="E30" i="38"/>
  <c r="D30" i="38"/>
  <c r="C30" i="38"/>
  <c r="B30" i="38"/>
  <c r="N29" i="38"/>
  <c r="M29" i="38"/>
  <c r="L29" i="38"/>
  <c r="K29" i="38"/>
  <c r="J29" i="38"/>
  <c r="H29" i="38"/>
  <c r="G29" i="38"/>
  <c r="F29" i="38"/>
  <c r="E29" i="38"/>
  <c r="D29" i="38"/>
  <c r="C29" i="38"/>
  <c r="B29" i="38"/>
  <c r="N28" i="38"/>
  <c r="M28" i="38"/>
  <c r="K28" i="38"/>
  <c r="J28" i="38"/>
  <c r="G28" i="38"/>
  <c r="F28" i="38"/>
  <c r="E28" i="38"/>
  <c r="D28" i="38"/>
  <c r="C28" i="38"/>
  <c r="B28" i="38"/>
  <c r="M27" i="38"/>
  <c r="L27" i="38"/>
  <c r="K27" i="38"/>
  <c r="J27" i="38"/>
  <c r="H27" i="38"/>
  <c r="G27" i="38"/>
  <c r="F27" i="38"/>
  <c r="E27" i="38"/>
  <c r="D27" i="38"/>
  <c r="C27" i="38"/>
  <c r="B27" i="38"/>
  <c r="N26" i="38"/>
  <c r="M26" i="38"/>
  <c r="K26" i="38"/>
  <c r="J26" i="38"/>
  <c r="G26" i="38"/>
  <c r="F26" i="38"/>
  <c r="E26" i="38"/>
  <c r="D26" i="38"/>
  <c r="C26" i="38"/>
  <c r="B26" i="38"/>
  <c r="M25" i="38"/>
  <c r="K25" i="38"/>
  <c r="J25" i="38"/>
  <c r="H25" i="38"/>
  <c r="G25" i="38"/>
  <c r="E25" i="38"/>
  <c r="D25" i="38"/>
  <c r="C25" i="38"/>
  <c r="B25" i="38"/>
  <c r="N24" i="38"/>
  <c r="M24" i="38"/>
  <c r="K24" i="38"/>
  <c r="J24" i="38"/>
  <c r="G24" i="38"/>
  <c r="F24" i="38"/>
  <c r="E24" i="38"/>
  <c r="D24" i="38"/>
  <c r="C24" i="38"/>
  <c r="B24" i="38"/>
  <c r="O23" i="38"/>
  <c r="M23" i="38"/>
  <c r="K23" i="38"/>
  <c r="J23" i="38"/>
  <c r="H23" i="38"/>
  <c r="G23" i="38"/>
  <c r="F23" i="38"/>
  <c r="E23" i="38"/>
  <c r="D23" i="38"/>
  <c r="C23" i="38"/>
  <c r="B23" i="38"/>
  <c r="N22" i="38"/>
  <c r="M22" i="38"/>
  <c r="K22" i="38"/>
  <c r="J22" i="38"/>
  <c r="G22" i="38"/>
  <c r="F22" i="38"/>
  <c r="E22" i="38"/>
  <c r="D22" i="38"/>
  <c r="C22" i="38"/>
  <c r="B22" i="38"/>
  <c r="M21" i="38"/>
  <c r="L21" i="38"/>
  <c r="K21" i="38"/>
  <c r="J21" i="38"/>
  <c r="H21" i="38"/>
  <c r="G21" i="38"/>
  <c r="E21" i="38"/>
  <c r="D21" i="38"/>
  <c r="C21" i="38"/>
  <c r="B21" i="38"/>
  <c r="O20" i="38"/>
  <c r="N20" i="38"/>
  <c r="M20" i="38"/>
  <c r="L20" i="38"/>
  <c r="K20" i="38"/>
  <c r="J20" i="38"/>
  <c r="G20" i="38"/>
  <c r="F20" i="38"/>
  <c r="E20" i="38"/>
  <c r="D20" i="38"/>
  <c r="C20" i="38"/>
  <c r="B20" i="38"/>
  <c r="M19" i="38"/>
  <c r="K19" i="38"/>
  <c r="J19" i="38"/>
  <c r="H19" i="38"/>
  <c r="G19" i="38"/>
  <c r="E19" i="38"/>
  <c r="D19" i="38"/>
  <c r="C19" i="38"/>
  <c r="B19" i="38"/>
  <c r="N18" i="38"/>
  <c r="M18" i="38"/>
  <c r="L18" i="38"/>
  <c r="K18" i="38"/>
  <c r="J18" i="38"/>
  <c r="H18" i="38"/>
  <c r="G18" i="38"/>
  <c r="F18" i="38"/>
  <c r="E18" i="38"/>
  <c r="D18" i="38"/>
  <c r="C18" i="38"/>
  <c r="B18" i="38"/>
  <c r="M17" i="38"/>
  <c r="K17" i="38"/>
  <c r="J17" i="38"/>
  <c r="H17" i="38"/>
  <c r="G17" i="38"/>
  <c r="F17" i="38"/>
  <c r="E17" i="38"/>
  <c r="C17" i="38"/>
  <c r="B17" i="38"/>
  <c r="M15" i="38"/>
  <c r="J15" i="38"/>
  <c r="G15" i="38"/>
  <c r="D15" i="38"/>
  <c r="B15" i="38"/>
  <c r="M14" i="38"/>
  <c r="G14" i="38"/>
  <c r="B199" i="37"/>
  <c r="N198" i="37"/>
  <c r="O198" i="37" s="1"/>
  <c r="L198" i="37"/>
  <c r="K198" i="37"/>
  <c r="I198" i="37"/>
  <c r="H198" i="37"/>
  <c r="F198" i="37"/>
  <c r="E198" i="37"/>
  <c r="N197" i="37"/>
  <c r="O197" i="37" s="1"/>
  <c r="L197" i="37"/>
  <c r="K197" i="37"/>
  <c r="I197" i="37"/>
  <c r="H197" i="37"/>
  <c r="F197" i="37"/>
  <c r="E197" i="37"/>
  <c r="N196" i="37"/>
  <c r="O196" i="37" s="1"/>
  <c r="L196" i="37"/>
  <c r="K196" i="37"/>
  <c r="I196" i="37"/>
  <c r="H196" i="37"/>
  <c r="F196" i="37"/>
  <c r="E196" i="37"/>
  <c r="N195" i="37"/>
  <c r="O195" i="37" s="1"/>
  <c r="L195" i="37"/>
  <c r="K195" i="37"/>
  <c r="I195" i="37"/>
  <c r="H195" i="37"/>
  <c r="F195" i="37"/>
  <c r="E195" i="37"/>
  <c r="N194" i="37"/>
  <c r="O194" i="37" s="1"/>
  <c r="L194" i="37"/>
  <c r="K194" i="37"/>
  <c r="I194" i="37"/>
  <c r="H194" i="37"/>
  <c r="F194" i="37"/>
  <c r="E194" i="37"/>
  <c r="N193" i="37"/>
  <c r="O193" i="37" s="1"/>
  <c r="L193" i="37"/>
  <c r="K193" i="37"/>
  <c r="I193" i="37"/>
  <c r="H193" i="37"/>
  <c r="F193" i="37"/>
  <c r="E193" i="37"/>
  <c r="N192" i="37"/>
  <c r="O192" i="37" s="1"/>
  <c r="L192" i="37"/>
  <c r="K192" i="37"/>
  <c r="I192" i="37"/>
  <c r="H192" i="37"/>
  <c r="F192" i="37"/>
  <c r="E192" i="37"/>
  <c r="N191" i="37"/>
  <c r="O191" i="37" s="1"/>
  <c r="L191" i="37"/>
  <c r="K191" i="37"/>
  <c r="I191" i="37"/>
  <c r="H191" i="37"/>
  <c r="F191" i="37"/>
  <c r="E191" i="37"/>
  <c r="N190" i="37"/>
  <c r="O190" i="37" s="1"/>
  <c r="L190" i="37"/>
  <c r="K190" i="37"/>
  <c r="I190" i="37"/>
  <c r="H190" i="37"/>
  <c r="F190" i="37"/>
  <c r="E190" i="37"/>
  <c r="N189" i="37"/>
  <c r="O189" i="37" s="1"/>
  <c r="L189" i="37"/>
  <c r="K189" i="37"/>
  <c r="I189" i="37"/>
  <c r="H189" i="37"/>
  <c r="F189" i="37"/>
  <c r="E189" i="37"/>
  <c r="N188" i="37"/>
  <c r="O188" i="37" s="1"/>
  <c r="L188" i="37"/>
  <c r="K188" i="37"/>
  <c r="I188" i="37"/>
  <c r="H188" i="37"/>
  <c r="F188" i="37"/>
  <c r="E188" i="37"/>
  <c r="N187" i="37"/>
  <c r="O187" i="37" s="1"/>
  <c r="L187" i="37"/>
  <c r="K187" i="37"/>
  <c r="I187" i="37"/>
  <c r="H187" i="37"/>
  <c r="F187" i="37"/>
  <c r="E187" i="37"/>
  <c r="N186" i="37"/>
  <c r="O186" i="37" s="1"/>
  <c r="L186" i="37"/>
  <c r="K186" i="37"/>
  <c r="I186" i="37"/>
  <c r="H186" i="37"/>
  <c r="F186" i="37"/>
  <c r="E186" i="37"/>
  <c r="N185" i="37"/>
  <c r="O185" i="37" s="1"/>
  <c r="L185" i="37"/>
  <c r="K185" i="37"/>
  <c r="I185" i="37"/>
  <c r="H185" i="37"/>
  <c r="F185" i="37"/>
  <c r="E185" i="37"/>
  <c r="N184" i="37"/>
  <c r="O184" i="37" s="1"/>
  <c r="L184" i="37"/>
  <c r="K184" i="37"/>
  <c r="I184" i="37"/>
  <c r="H184" i="37"/>
  <c r="F184" i="37"/>
  <c r="E184" i="37"/>
  <c r="N183" i="37"/>
  <c r="O183" i="37" s="1"/>
  <c r="L183" i="37"/>
  <c r="K183" i="37"/>
  <c r="I183" i="37"/>
  <c r="H183" i="37"/>
  <c r="F183" i="37"/>
  <c r="E183" i="37"/>
  <c r="N182" i="37"/>
  <c r="O182" i="37" s="1"/>
  <c r="L182" i="37"/>
  <c r="K182" i="37"/>
  <c r="I182" i="37"/>
  <c r="H182" i="37"/>
  <c r="F182" i="37"/>
  <c r="E182" i="37"/>
  <c r="N181" i="37"/>
  <c r="O181" i="37" s="1"/>
  <c r="L181" i="37"/>
  <c r="K181" i="37"/>
  <c r="I181" i="37"/>
  <c r="H181" i="37"/>
  <c r="F181" i="37"/>
  <c r="E181" i="37"/>
  <c r="N180" i="37"/>
  <c r="O180" i="37" s="1"/>
  <c r="L180" i="37"/>
  <c r="K180" i="37"/>
  <c r="I180" i="37"/>
  <c r="H180" i="37"/>
  <c r="F180" i="37"/>
  <c r="E180" i="37"/>
  <c r="N179" i="37"/>
  <c r="N199" i="37" s="1"/>
  <c r="L179" i="37"/>
  <c r="L199" i="37" s="1"/>
  <c r="K179" i="37"/>
  <c r="K199" i="37" s="1"/>
  <c r="I179" i="37"/>
  <c r="I199" i="37" s="1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N171" i="37"/>
  <c r="O171" i="37" s="1"/>
  <c r="L171" i="37"/>
  <c r="K171" i="37"/>
  <c r="H171" i="37"/>
  <c r="I171" i="37" s="1"/>
  <c r="F171" i="37"/>
  <c r="E171" i="37"/>
  <c r="O170" i="37"/>
  <c r="N170" i="37"/>
  <c r="K170" i="37"/>
  <c r="L170" i="37" s="1"/>
  <c r="H170" i="37"/>
  <c r="I170" i="37" s="1"/>
  <c r="F170" i="37"/>
  <c r="E170" i="37"/>
  <c r="O169" i="37"/>
  <c r="N169" i="37"/>
  <c r="K169" i="37"/>
  <c r="L169" i="37" s="1"/>
  <c r="H169" i="37"/>
  <c r="I169" i="37" s="1"/>
  <c r="F169" i="37"/>
  <c r="E169" i="37"/>
  <c r="O168" i="37"/>
  <c r="N168" i="37"/>
  <c r="K168" i="37"/>
  <c r="L168" i="37" s="1"/>
  <c r="L25" i="37" s="1"/>
  <c r="H168" i="37"/>
  <c r="I168" i="37" s="1"/>
  <c r="I25" i="37" s="1"/>
  <c r="F168" i="37"/>
  <c r="E168" i="37"/>
  <c r="O167" i="37"/>
  <c r="N167" i="37"/>
  <c r="L167" i="37"/>
  <c r="K167" i="37"/>
  <c r="H167" i="37"/>
  <c r="I167" i="37" s="1"/>
  <c r="F167" i="37"/>
  <c r="E167" i="37"/>
  <c r="N166" i="37"/>
  <c r="O166" i="37" s="1"/>
  <c r="K166" i="37"/>
  <c r="L166" i="37" s="1"/>
  <c r="H166" i="37"/>
  <c r="I166" i="37" s="1"/>
  <c r="F166" i="37"/>
  <c r="E166" i="37"/>
  <c r="O165" i="37"/>
  <c r="N165" i="37"/>
  <c r="K165" i="37"/>
  <c r="L165" i="37" s="1"/>
  <c r="L34" i="37" s="1"/>
  <c r="H165" i="37"/>
  <c r="I165" i="37" s="1"/>
  <c r="I34" i="37" s="1"/>
  <c r="F165" i="37"/>
  <c r="F34" i="37" s="1"/>
  <c r="E165" i="37"/>
  <c r="N164" i="37"/>
  <c r="O164" i="37" s="1"/>
  <c r="L164" i="37"/>
  <c r="K164" i="37"/>
  <c r="H164" i="37"/>
  <c r="I164" i="37" s="1"/>
  <c r="F164" i="37"/>
  <c r="E164" i="37"/>
  <c r="N163" i="37"/>
  <c r="O163" i="37" s="1"/>
  <c r="O28" i="37" s="1"/>
  <c r="L163" i="37"/>
  <c r="L28" i="37" s="1"/>
  <c r="K163" i="37"/>
  <c r="H163" i="37"/>
  <c r="I163" i="37" s="1"/>
  <c r="I28" i="37" s="1"/>
  <c r="F163" i="37"/>
  <c r="F28" i="37" s="1"/>
  <c r="E163" i="37"/>
  <c r="O162" i="37"/>
  <c r="N162" i="37"/>
  <c r="K162" i="37"/>
  <c r="L162" i="37" s="1"/>
  <c r="L22" i="37" s="1"/>
  <c r="H162" i="37"/>
  <c r="I162" i="37" s="1"/>
  <c r="I22" i="37" s="1"/>
  <c r="F162" i="37"/>
  <c r="E162" i="37"/>
  <c r="N161" i="37"/>
  <c r="O161" i="37" s="1"/>
  <c r="K161" i="37"/>
  <c r="L161" i="37" s="1"/>
  <c r="H161" i="37"/>
  <c r="I161" i="37" s="1"/>
  <c r="F161" i="37"/>
  <c r="E161" i="37"/>
  <c r="O160" i="37"/>
  <c r="N160" i="37"/>
  <c r="L160" i="37"/>
  <c r="K160" i="37"/>
  <c r="H160" i="37"/>
  <c r="I160" i="37" s="1"/>
  <c r="I26" i="37" s="1"/>
  <c r="F160" i="37"/>
  <c r="E160" i="37"/>
  <c r="O159" i="37"/>
  <c r="N159" i="37"/>
  <c r="L159" i="37"/>
  <c r="K159" i="37"/>
  <c r="H159" i="37"/>
  <c r="I159" i="37" s="1"/>
  <c r="F159" i="37"/>
  <c r="E159" i="37"/>
  <c r="N158" i="37"/>
  <c r="O158" i="37" s="1"/>
  <c r="K158" i="37"/>
  <c r="L158" i="37" s="1"/>
  <c r="H158" i="37"/>
  <c r="I158" i="37" s="1"/>
  <c r="F158" i="37"/>
  <c r="E158" i="37"/>
  <c r="O157" i="37"/>
  <c r="N157" i="37"/>
  <c r="K157" i="37"/>
  <c r="L157" i="37" s="1"/>
  <c r="H157" i="37"/>
  <c r="I157" i="37" s="1"/>
  <c r="F157" i="37"/>
  <c r="E157" i="37"/>
  <c r="N156" i="37"/>
  <c r="N33" i="37" s="1"/>
  <c r="L156" i="37"/>
  <c r="K156" i="37"/>
  <c r="H156" i="37"/>
  <c r="I156" i="37" s="1"/>
  <c r="I33" i="37" s="1"/>
  <c r="F156" i="37"/>
  <c r="F33" i="37" s="1"/>
  <c r="E156" i="37"/>
  <c r="N155" i="37"/>
  <c r="O155" i="37" s="1"/>
  <c r="L155" i="37"/>
  <c r="K155" i="37"/>
  <c r="H155" i="37"/>
  <c r="I155" i="37" s="1"/>
  <c r="F155" i="37"/>
  <c r="E155" i="37"/>
  <c r="O154" i="37"/>
  <c r="N154" i="37"/>
  <c r="K154" i="37"/>
  <c r="L154" i="37" s="1"/>
  <c r="H154" i="37"/>
  <c r="I154" i="37" s="1"/>
  <c r="F154" i="37"/>
  <c r="E154" i="37"/>
  <c r="N153" i="37"/>
  <c r="O153" i="37" s="1"/>
  <c r="O20" i="37" s="1"/>
  <c r="K153" i="37"/>
  <c r="L153" i="37" s="1"/>
  <c r="L20" i="37" s="1"/>
  <c r="H153" i="37"/>
  <c r="I153" i="37" s="1"/>
  <c r="I20" i="37" s="1"/>
  <c r="F153" i="37"/>
  <c r="E153" i="37"/>
  <c r="O152" i="37"/>
  <c r="N152" i="37"/>
  <c r="L152" i="37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O35" i="37" s="1"/>
  <c r="N144" i="37"/>
  <c r="L144" i="37"/>
  <c r="K144" i="37"/>
  <c r="H144" i="37"/>
  <c r="I144" i="37" s="1"/>
  <c r="I35" i="37" s="1"/>
  <c r="F144" i="37"/>
  <c r="F35" i="37" s="1"/>
  <c r="E144" i="37"/>
  <c r="N143" i="37"/>
  <c r="O143" i="37" s="1"/>
  <c r="K143" i="37"/>
  <c r="L143" i="37" s="1"/>
  <c r="H143" i="37"/>
  <c r="I143" i="37" s="1"/>
  <c r="F143" i="37"/>
  <c r="E143" i="37"/>
  <c r="N142" i="37"/>
  <c r="O142" i="37" s="1"/>
  <c r="L142" i="37"/>
  <c r="K142" i="37"/>
  <c r="H142" i="37"/>
  <c r="I142" i="37" s="1"/>
  <c r="F142" i="37"/>
  <c r="E142" i="37"/>
  <c r="O141" i="37"/>
  <c r="N141" i="37"/>
  <c r="K141" i="37"/>
  <c r="L141" i="37" s="1"/>
  <c r="H141" i="37"/>
  <c r="I141" i="37" s="1"/>
  <c r="F141" i="37"/>
  <c r="E141" i="37"/>
  <c r="N140" i="37"/>
  <c r="O140" i="37" s="1"/>
  <c r="L140" i="37"/>
  <c r="K140" i="37"/>
  <c r="H140" i="37"/>
  <c r="I140" i="37" s="1"/>
  <c r="F140" i="37"/>
  <c r="E140" i="37"/>
  <c r="N139" i="37"/>
  <c r="O139" i="37" s="1"/>
  <c r="K139" i="37"/>
  <c r="L139" i="37" s="1"/>
  <c r="H139" i="37"/>
  <c r="I139" i="37" s="1"/>
  <c r="F139" i="37"/>
  <c r="E139" i="37"/>
  <c r="N138" i="37"/>
  <c r="O138" i="37" s="1"/>
  <c r="L138" i="37"/>
  <c r="K138" i="37"/>
  <c r="H138" i="37"/>
  <c r="I138" i="37" s="1"/>
  <c r="F138" i="37"/>
  <c r="E138" i="37"/>
  <c r="N137" i="37"/>
  <c r="O137" i="37" s="1"/>
  <c r="K137" i="37"/>
  <c r="L137" i="37" s="1"/>
  <c r="H137" i="37"/>
  <c r="I137" i="37" s="1"/>
  <c r="F137" i="37"/>
  <c r="E137" i="37"/>
  <c r="O136" i="37"/>
  <c r="N136" i="37"/>
  <c r="L136" i="37"/>
  <c r="K136" i="37"/>
  <c r="H136" i="37"/>
  <c r="I136" i="37" s="1"/>
  <c r="F136" i="37"/>
  <c r="E136" i="37"/>
  <c r="N135" i="37"/>
  <c r="O135" i="37" s="1"/>
  <c r="K135" i="37"/>
  <c r="L135" i="37" s="1"/>
  <c r="H135" i="37"/>
  <c r="I135" i="37" s="1"/>
  <c r="F135" i="37"/>
  <c r="E135" i="37"/>
  <c r="N134" i="37"/>
  <c r="O134" i="37" s="1"/>
  <c r="L134" i="37"/>
  <c r="K134" i="37"/>
  <c r="H134" i="37"/>
  <c r="I134" i="37" s="1"/>
  <c r="F134" i="37"/>
  <c r="E134" i="37"/>
  <c r="O133" i="37"/>
  <c r="N133" i="37"/>
  <c r="K133" i="37"/>
  <c r="L133" i="37" s="1"/>
  <c r="H133" i="37"/>
  <c r="I133" i="37" s="1"/>
  <c r="F133" i="37"/>
  <c r="E133" i="37"/>
  <c r="N132" i="37"/>
  <c r="O132" i="37" s="1"/>
  <c r="L132" i="37"/>
  <c r="K132" i="37"/>
  <c r="H132" i="37"/>
  <c r="I132" i="37" s="1"/>
  <c r="F132" i="37"/>
  <c r="E132" i="37"/>
  <c r="N131" i="37"/>
  <c r="O131" i="37" s="1"/>
  <c r="K131" i="37"/>
  <c r="L131" i="37" s="1"/>
  <c r="H131" i="37"/>
  <c r="I131" i="37" s="1"/>
  <c r="F131" i="37"/>
  <c r="E131" i="37"/>
  <c r="N130" i="37"/>
  <c r="O130" i="37" s="1"/>
  <c r="L130" i="37"/>
  <c r="K130" i="37"/>
  <c r="H130" i="37"/>
  <c r="I130" i="37" s="1"/>
  <c r="F130" i="37"/>
  <c r="E130" i="37"/>
  <c r="N129" i="37"/>
  <c r="O129" i="37" s="1"/>
  <c r="K129" i="37"/>
  <c r="L129" i="37" s="1"/>
  <c r="H129" i="37"/>
  <c r="I129" i="37" s="1"/>
  <c r="F129" i="37"/>
  <c r="E129" i="37"/>
  <c r="O128" i="37"/>
  <c r="N128" i="37"/>
  <c r="L128" i="37"/>
  <c r="K128" i="37"/>
  <c r="H128" i="37"/>
  <c r="I128" i="37" s="1"/>
  <c r="F128" i="37"/>
  <c r="E128" i="37"/>
  <c r="N127" i="37"/>
  <c r="O127" i="37" s="1"/>
  <c r="K127" i="37"/>
  <c r="L127" i="37" s="1"/>
  <c r="H127" i="37"/>
  <c r="I127" i="37" s="1"/>
  <c r="F127" i="37"/>
  <c r="E127" i="37"/>
  <c r="N126" i="37"/>
  <c r="O126" i="37" s="1"/>
  <c r="L126" i="37"/>
  <c r="K126" i="37"/>
  <c r="H126" i="37"/>
  <c r="I126" i="37" s="1"/>
  <c r="F126" i="37"/>
  <c r="E126" i="37"/>
  <c r="O125" i="37"/>
  <c r="N125" i="37"/>
  <c r="K125" i="37"/>
  <c r="H125" i="37"/>
  <c r="H145" i="37" s="1"/>
  <c r="F125" i="37"/>
  <c r="F145" i="37" s="1"/>
  <c r="E125" i="37"/>
  <c r="E145" i="37" s="1"/>
  <c r="M123" i="37"/>
  <c r="J123" i="37"/>
  <c r="G123" i="37"/>
  <c r="D123" i="37"/>
  <c r="B123" i="37"/>
  <c r="M122" i="37"/>
  <c r="G122" i="37"/>
  <c r="B118" i="37"/>
  <c r="N117" i="37"/>
  <c r="O117" i="37" s="1"/>
  <c r="L117" i="37"/>
  <c r="K117" i="37"/>
  <c r="H117" i="37"/>
  <c r="I117" i="37" s="1"/>
  <c r="F117" i="37"/>
  <c r="E117" i="37"/>
  <c r="O116" i="37"/>
  <c r="N116" i="37"/>
  <c r="K116" i="37"/>
  <c r="L116" i="37" s="1"/>
  <c r="H116" i="37"/>
  <c r="I116" i="37" s="1"/>
  <c r="F116" i="37"/>
  <c r="E116" i="37"/>
  <c r="N115" i="37"/>
  <c r="O115" i="37" s="1"/>
  <c r="K115" i="37"/>
  <c r="L115" i="37" s="1"/>
  <c r="H115" i="37"/>
  <c r="I115" i="37" s="1"/>
  <c r="F115" i="37"/>
  <c r="E115" i="37"/>
  <c r="O114" i="37"/>
  <c r="N114" i="37"/>
  <c r="L114" i="37"/>
  <c r="K114" i="37"/>
  <c r="H114" i="37"/>
  <c r="I114" i="37" s="1"/>
  <c r="F114" i="37"/>
  <c r="E114" i="37"/>
  <c r="O113" i="37"/>
  <c r="N113" i="37"/>
  <c r="L113" i="37"/>
  <c r="K113" i="37"/>
  <c r="H113" i="37"/>
  <c r="I113" i="37" s="1"/>
  <c r="F113" i="37"/>
  <c r="E113" i="37"/>
  <c r="N112" i="37"/>
  <c r="O112" i="37" s="1"/>
  <c r="K112" i="37"/>
  <c r="L112" i="37" s="1"/>
  <c r="H112" i="37"/>
  <c r="I112" i="37" s="1"/>
  <c r="F112" i="37"/>
  <c r="E112" i="37"/>
  <c r="O111" i="37"/>
  <c r="N111" i="37"/>
  <c r="K111" i="37"/>
  <c r="L111" i="37" s="1"/>
  <c r="H111" i="37"/>
  <c r="I111" i="37" s="1"/>
  <c r="F111" i="37"/>
  <c r="E111" i="37"/>
  <c r="N110" i="37"/>
  <c r="O110" i="37" s="1"/>
  <c r="L110" i="37"/>
  <c r="K110" i="37"/>
  <c r="H110" i="37"/>
  <c r="I110" i="37" s="1"/>
  <c r="F110" i="37"/>
  <c r="E110" i="37"/>
  <c r="N109" i="37"/>
  <c r="O109" i="37" s="1"/>
  <c r="L109" i="37"/>
  <c r="K109" i="37"/>
  <c r="H109" i="37"/>
  <c r="I109" i="37" s="1"/>
  <c r="F109" i="37"/>
  <c r="E109" i="37"/>
  <c r="O108" i="37"/>
  <c r="N108" i="37"/>
  <c r="K108" i="37"/>
  <c r="L108" i="37" s="1"/>
  <c r="H108" i="37"/>
  <c r="I108" i="37" s="1"/>
  <c r="F108" i="37"/>
  <c r="E108" i="37"/>
  <c r="N107" i="37"/>
  <c r="O107" i="37" s="1"/>
  <c r="K107" i="37"/>
  <c r="L107" i="37" s="1"/>
  <c r="H107" i="37"/>
  <c r="I107" i="37" s="1"/>
  <c r="F107" i="37"/>
  <c r="E107" i="37"/>
  <c r="O106" i="37"/>
  <c r="N106" i="37"/>
  <c r="L106" i="37"/>
  <c r="K106" i="37"/>
  <c r="H106" i="37"/>
  <c r="I106" i="37" s="1"/>
  <c r="F106" i="37"/>
  <c r="E106" i="37"/>
  <c r="O105" i="37"/>
  <c r="N105" i="37"/>
  <c r="L105" i="37"/>
  <c r="K105" i="37"/>
  <c r="H105" i="37"/>
  <c r="I105" i="37" s="1"/>
  <c r="F105" i="37"/>
  <c r="E105" i="37"/>
  <c r="N104" i="37"/>
  <c r="O104" i="37" s="1"/>
  <c r="K104" i="37"/>
  <c r="L104" i="37" s="1"/>
  <c r="H104" i="37"/>
  <c r="I104" i="37" s="1"/>
  <c r="F104" i="37"/>
  <c r="E104" i="37"/>
  <c r="O103" i="37"/>
  <c r="N103" i="37"/>
  <c r="K103" i="37"/>
  <c r="L103" i="37" s="1"/>
  <c r="H103" i="37"/>
  <c r="I103" i="37" s="1"/>
  <c r="F103" i="37"/>
  <c r="E103" i="37"/>
  <c r="N102" i="37"/>
  <c r="O102" i="37" s="1"/>
  <c r="L102" i="37"/>
  <c r="K102" i="37"/>
  <c r="H102" i="37"/>
  <c r="I102" i="37" s="1"/>
  <c r="F102" i="37"/>
  <c r="E102" i="37"/>
  <c r="N101" i="37"/>
  <c r="O101" i="37" s="1"/>
  <c r="L101" i="37"/>
  <c r="K101" i="37"/>
  <c r="H101" i="37"/>
  <c r="I101" i="37" s="1"/>
  <c r="F101" i="37"/>
  <c r="E101" i="37"/>
  <c r="O100" i="37"/>
  <c r="N100" i="37"/>
  <c r="K100" i="37"/>
  <c r="L100" i="37" s="1"/>
  <c r="H100" i="37"/>
  <c r="I100" i="37" s="1"/>
  <c r="F100" i="37"/>
  <c r="E100" i="37"/>
  <c r="N99" i="37"/>
  <c r="O99" i="37" s="1"/>
  <c r="K99" i="37"/>
  <c r="L99" i="37" s="1"/>
  <c r="H99" i="37"/>
  <c r="I99" i="37" s="1"/>
  <c r="F99" i="37"/>
  <c r="E99" i="37"/>
  <c r="O98" i="37"/>
  <c r="N98" i="37"/>
  <c r="L98" i="37"/>
  <c r="K98" i="37"/>
  <c r="H98" i="37"/>
  <c r="H118" i="37" s="1"/>
  <c r="F98" i="37"/>
  <c r="F118" i="37" s="1"/>
  <c r="E98" i="37"/>
  <c r="E118" i="37" s="1"/>
  <c r="M96" i="37"/>
  <c r="J96" i="37"/>
  <c r="G96" i="37"/>
  <c r="D96" i="37"/>
  <c r="B96" i="37"/>
  <c r="M95" i="37"/>
  <c r="G95" i="37"/>
  <c r="B91" i="37"/>
  <c r="O90" i="37"/>
  <c r="N90" i="37"/>
  <c r="L90" i="37"/>
  <c r="L24" i="37" s="1"/>
  <c r="K90" i="37"/>
  <c r="I90" i="37"/>
  <c r="H90" i="37"/>
  <c r="F90" i="37"/>
  <c r="E90" i="37"/>
  <c r="O89" i="37"/>
  <c r="O32" i="37" s="1"/>
  <c r="N89" i="37"/>
  <c r="L89" i="37"/>
  <c r="K89" i="37"/>
  <c r="I89" i="37"/>
  <c r="H89" i="37"/>
  <c r="F89" i="37"/>
  <c r="E89" i="37"/>
  <c r="O88" i="37"/>
  <c r="N88" i="37"/>
  <c r="L88" i="37"/>
  <c r="K88" i="37"/>
  <c r="I88" i="37"/>
  <c r="H88" i="37"/>
  <c r="F88" i="37"/>
  <c r="E88" i="37"/>
  <c r="O87" i="37"/>
  <c r="N87" i="37"/>
  <c r="L87" i="37"/>
  <c r="K87" i="37"/>
  <c r="I87" i="37"/>
  <c r="H87" i="37"/>
  <c r="F87" i="37"/>
  <c r="E87" i="37"/>
  <c r="O86" i="37"/>
  <c r="N86" i="37"/>
  <c r="L86" i="37"/>
  <c r="K86" i="37"/>
  <c r="I86" i="37"/>
  <c r="H86" i="37"/>
  <c r="F86" i="37"/>
  <c r="E86" i="37"/>
  <c r="O85" i="37"/>
  <c r="N85" i="37"/>
  <c r="L85" i="37"/>
  <c r="K85" i="37"/>
  <c r="I85" i="37"/>
  <c r="H85" i="37"/>
  <c r="F85" i="37"/>
  <c r="E85" i="37"/>
  <c r="O84" i="37"/>
  <c r="N84" i="37"/>
  <c r="L84" i="37"/>
  <c r="K84" i="37"/>
  <c r="I84" i="37"/>
  <c r="H84" i="37"/>
  <c r="F84" i="37"/>
  <c r="E84" i="37"/>
  <c r="O83" i="37"/>
  <c r="N83" i="37"/>
  <c r="L83" i="37"/>
  <c r="K83" i="37"/>
  <c r="I83" i="37"/>
  <c r="H83" i="37"/>
  <c r="F83" i="37"/>
  <c r="E83" i="37"/>
  <c r="O82" i="37"/>
  <c r="N82" i="37"/>
  <c r="L82" i="37"/>
  <c r="L27" i="37" s="1"/>
  <c r="K82" i="37"/>
  <c r="I82" i="37"/>
  <c r="H82" i="37"/>
  <c r="F82" i="37"/>
  <c r="E82" i="37"/>
  <c r="O81" i="37"/>
  <c r="N81" i="37"/>
  <c r="L81" i="37"/>
  <c r="K81" i="37"/>
  <c r="I81" i="37"/>
  <c r="H81" i="37"/>
  <c r="F81" i="37"/>
  <c r="E81" i="37"/>
  <c r="O80" i="37"/>
  <c r="N80" i="37"/>
  <c r="L80" i="37"/>
  <c r="K80" i="37"/>
  <c r="I80" i="37"/>
  <c r="H80" i="37"/>
  <c r="F80" i="37"/>
  <c r="E80" i="37"/>
  <c r="O79" i="37"/>
  <c r="N79" i="37"/>
  <c r="L79" i="37"/>
  <c r="K79" i="37"/>
  <c r="I79" i="37"/>
  <c r="H79" i="37"/>
  <c r="F79" i="37"/>
  <c r="E79" i="37"/>
  <c r="O78" i="37"/>
  <c r="N78" i="37"/>
  <c r="L78" i="37"/>
  <c r="K78" i="37"/>
  <c r="I78" i="37"/>
  <c r="H78" i="37"/>
  <c r="F78" i="37"/>
  <c r="E78" i="37"/>
  <c r="O77" i="37"/>
  <c r="N77" i="37"/>
  <c r="L77" i="37"/>
  <c r="K77" i="37"/>
  <c r="I77" i="37"/>
  <c r="H77" i="37"/>
  <c r="F77" i="37"/>
  <c r="E77" i="37"/>
  <c r="O76" i="37"/>
  <c r="N76" i="37"/>
  <c r="L76" i="37"/>
  <c r="L30" i="37" s="1"/>
  <c r="K76" i="37"/>
  <c r="I76" i="37"/>
  <c r="H76" i="37"/>
  <c r="F76" i="37"/>
  <c r="E76" i="37"/>
  <c r="O75" i="37"/>
  <c r="N75" i="37"/>
  <c r="L75" i="37"/>
  <c r="K75" i="37"/>
  <c r="I75" i="37"/>
  <c r="H75" i="37"/>
  <c r="F75" i="37"/>
  <c r="E75" i="37"/>
  <c r="O74" i="37"/>
  <c r="N74" i="37"/>
  <c r="L74" i="37"/>
  <c r="K74" i="37"/>
  <c r="I74" i="37"/>
  <c r="H74" i="37"/>
  <c r="F74" i="37"/>
  <c r="E74" i="37"/>
  <c r="O73" i="37"/>
  <c r="N73" i="37"/>
  <c r="L73" i="37"/>
  <c r="K73" i="37"/>
  <c r="I73" i="37"/>
  <c r="H73" i="37"/>
  <c r="F73" i="37"/>
  <c r="E73" i="37"/>
  <c r="O72" i="37"/>
  <c r="N72" i="37"/>
  <c r="L72" i="37"/>
  <c r="K72" i="37"/>
  <c r="I72" i="37"/>
  <c r="H72" i="37"/>
  <c r="F72" i="37"/>
  <c r="E72" i="37"/>
  <c r="O71" i="37"/>
  <c r="O91" i="37" s="1"/>
  <c r="N71" i="37"/>
  <c r="N91" i="37" s="1"/>
  <c r="L71" i="37"/>
  <c r="L91" i="37" s="1"/>
  <c r="K71" i="37"/>
  <c r="K91" i="37" s="1"/>
  <c r="I71" i="37"/>
  <c r="I91" i="37" s="1"/>
  <c r="H71" i="37"/>
  <c r="H91" i="37" s="1"/>
  <c r="F71" i="37"/>
  <c r="F91" i="37" s="1"/>
  <c r="E71" i="37"/>
  <c r="E91" i="37" s="1"/>
  <c r="M69" i="37"/>
  <c r="J69" i="37"/>
  <c r="G69" i="37"/>
  <c r="D69" i="37"/>
  <c r="B69" i="37"/>
  <c r="M68" i="37"/>
  <c r="G68" i="37"/>
  <c r="B64" i="37"/>
  <c r="O63" i="37"/>
  <c r="N63" i="37"/>
  <c r="K63" i="37"/>
  <c r="L63" i="37" s="1"/>
  <c r="L17" i="37" s="1"/>
  <c r="H63" i="37"/>
  <c r="I63" i="37" s="1"/>
  <c r="I17" i="37" s="1"/>
  <c r="E63" i="37"/>
  <c r="F63" i="37" s="1"/>
  <c r="F17" i="37" s="1"/>
  <c r="O62" i="37"/>
  <c r="N62" i="37"/>
  <c r="K62" i="37"/>
  <c r="L62" i="37" s="1"/>
  <c r="H62" i="37"/>
  <c r="I62" i="37" s="1"/>
  <c r="F62" i="37"/>
  <c r="E62" i="37"/>
  <c r="N61" i="37"/>
  <c r="O61" i="37" s="1"/>
  <c r="O36" i="37" s="1"/>
  <c r="L61" i="37"/>
  <c r="L36" i="37" s="1"/>
  <c r="K61" i="37"/>
  <c r="H61" i="37"/>
  <c r="I61" i="37" s="1"/>
  <c r="I36" i="37" s="1"/>
  <c r="F61" i="37"/>
  <c r="E61" i="37"/>
  <c r="N60" i="37"/>
  <c r="O60" i="37" s="1"/>
  <c r="K60" i="37"/>
  <c r="L60" i="37" s="1"/>
  <c r="H60" i="37"/>
  <c r="I60" i="37" s="1"/>
  <c r="F60" i="37"/>
  <c r="E60" i="37"/>
  <c r="O59" i="37"/>
  <c r="N59" i="37"/>
  <c r="L59" i="37"/>
  <c r="K59" i="37"/>
  <c r="H59" i="37"/>
  <c r="I59" i="37" s="1"/>
  <c r="F59" i="37"/>
  <c r="E59" i="37"/>
  <c r="N58" i="37"/>
  <c r="O58" i="37" s="1"/>
  <c r="K58" i="37"/>
  <c r="L58" i="37" s="1"/>
  <c r="H58" i="37"/>
  <c r="I58" i="37" s="1"/>
  <c r="E58" i="37"/>
  <c r="F58" i="37" s="1"/>
  <c r="O57" i="37"/>
  <c r="N57" i="37"/>
  <c r="K57" i="37"/>
  <c r="L57" i="37" s="1"/>
  <c r="I57" i="37"/>
  <c r="H57" i="37"/>
  <c r="F57" i="37"/>
  <c r="E57" i="37"/>
  <c r="N56" i="37"/>
  <c r="O56" i="37" s="1"/>
  <c r="K56" i="37"/>
  <c r="L56" i="37" s="1"/>
  <c r="I56" i="37"/>
  <c r="H56" i="37"/>
  <c r="F56" i="37"/>
  <c r="E56" i="37"/>
  <c r="N55" i="37"/>
  <c r="O55" i="37" s="1"/>
  <c r="K55" i="37"/>
  <c r="L55" i="37" s="1"/>
  <c r="I55" i="37"/>
  <c r="H55" i="37"/>
  <c r="F55" i="37"/>
  <c r="E55" i="37"/>
  <c r="O54" i="37"/>
  <c r="N54" i="37"/>
  <c r="K54" i="37"/>
  <c r="L54" i="37" s="1"/>
  <c r="I54" i="37"/>
  <c r="H54" i="37"/>
  <c r="E54" i="37"/>
  <c r="F54" i="37" s="1"/>
  <c r="N53" i="37"/>
  <c r="O53" i="37" s="1"/>
  <c r="L53" i="37"/>
  <c r="K53" i="37"/>
  <c r="H53" i="37"/>
  <c r="I53" i="37" s="1"/>
  <c r="E53" i="37"/>
  <c r="F53" i="37" s="1"/>
  <c r="O52" i="37"/>
  <c r="N52" i="37"/>
  <c r="L52" i="37"/>
  <c r="K52" i="37"/>
  <c r="I52" i="37"/>
  <c r="H52" i="37"/>
  <c r="E52" i="37"/>
  <c r="F52" i="37" s="1"/>
  <c r="O51" i="37"/>
  <c r="N51" i="37"/>
  <c r="K51" i="37"/>
  <c r="L51" i="37" s="1"/>
  <c r="I51" i="37"/>
  <c r="H51" i="37"/>
  <c r="F51" i="37"/>
  <c r="E51" i="37"/>
  <c r="N50" i="37"/>
  <c r="O50" i="37" s="1"/>
  <c r="K50" i="37"/>
  <c r="L50" i="37" s="1"/>
  <c r="I50" i="37"/>
  <c r="H50" i="37"/>
  <c r="F50" i="37"/>
  <c r="E50" i="37"/>
  <c r="N49" i="37"/>
  <c r="O49" i="37" s="1"/>
  <c r="K49" i="37"/>
  <c r="L49" i="37" s="1"/>
  <c r="I49" i="37"/>
  <c r="H49" i="37"/>
  <c r="F49" i="37"/>
  <c r="E49" i="37"/>
  <c r="O48" i="37"/>
  <c r="N48" i="37"/>
  <c r="K48" i="37"/>
  <c r="L48" i="37" s="1"/>
  <c r="I48" i="37"/>
  <c r="H48" i="37"/>
  <c r="E48" i="37"/>
  <c r="F48" i="37" s="1"/>
  <c r="N47" i="37"/>
  <c r="O47" i="37" s="1"/>
  <c r="L47" i="37"/>
  <c r="K47" i="37"/>
  <c r="I47" i="37"/>
  <c r="H47" i="37"/>
  <c r="E47" i="37"/>
  <c r="F47" i="37" s="1"/>
  <c r="N46" i="37"/>
  <c r="O46" i="37" s="1"/>
  <c r="K46" i="37"/>
  <c r="L46" i="37" s="1"/>
  <c r="H46" i="37"/>
  <c r="I46" i="37" s="1"/>
  <c r="E46" i="37"/>
  <c r="F46" i="37" s="1"/>
  <c r="N45" i="37"/>
  <c r="O45" i="37" s="1"/>
  <c r="K45" i="37"/>
  <c r="L45" i="37" s="1"/>
  <c r="I45" i="37"/>
  <c r="H45" i="37"/>
  <c r="E45" i="37"/>
  <c r="F45" i="37" s="1"/>
  <c r="O44" i="37"/>
  <c r="N44" i="37"/>
  <c r="L44" i="37"/>
  <c r="K44" i="37"/>
  <c r="I44" i="37"/>
  <c r="H44" i="37"/>
  <c r="E44" i="37"/>
  <c r="E64" i="37" s="1"/>
  <c r="M42" i="37"/>
  <c r="J42" i="37"/>
  <c r="G42" i="37"/>
  <c r="D42" i="37"/>
  <c r="B42" i="37"/>
  <c r="M41" i="37"/>
  <c r="G41" i="37"/>
  <c r="N36" i="37"/>
  <c r="M36" i="37"/>
  <c r="K36" i="37"/>
  <c r="J36" i="37"/>
  <c r="H36" i="37"/>
  <c r="G36" i="37"/>
  <c r="F36" i="37"/>
  <c r="E36" i="37"/>
  <c r="D36" i="37"/>
  <c r="C36" i="37"/>
  <c r="B36" i="37"/>
  <c r="N35" i="37"/>
  <c r="M35" i="37"/>
  <c r="L35" i="37"/>
  <c r="K35" i="37"/>
  <c r="J35" i="37"/>
  <c r="H35" i="37"/>
  <c r="G35" i="37"/>
  <c r="E35" i="37"/>
  <c r="D35" i="37"/>
  <c r="C35" i="37"/>
  <c r="B35" i="37"/>
  <c r="O34" i="37"/>
  <c r="N34" i="37"/>
  <c r="M34" i="37"/>
  <c r="K34" i="37"/>
  <c r="J34" i="37"/>
  <c r="H34" i="37"/>
  <c r="G34" i="37"/>
  <c r="E34" i="37"/>
  <c r="D34" i="37"/>
  <c r="C34" i="37"/>
  <c r="B34" i="37"/>
  <c r="M33" i="37"/>
  <c r="L33" i="37"/>
  <c r="K33" i="37"/>
  <c r="J33" i="37"/>
  <c r="H33" i="37"/>
  <c r="G33" i="37"/>
  <c r="E33" i="37"/>
  <c r="D33" i="37"/>
  <c r="C33" i="37"/>
  <c r="B33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H31" i="37"/>
  <c r="G31" i="37"/>
  <c r="E31" i="37"/>
  <c r="D31" i="37"/>
  <c r="C31" i="37"/>
  <c r="B31" i="37"/>
  <c r="O30" i="37"/>
  <c r="N30" i="37"/>
  <c r="M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N28" i="37"/>
  <c r="M28" i="37"/>
  <c r="K28" i="37"/>
  <c r="J28" i="37"/>
  <c r="H28" i="37"/>
  <c r="G28" i="37"/>
  <c r="E28" i="37"/>
  <c r="D28" i="37"/>
  <c r="C28" i="37"/>
  <c r="B28" i="37"/>
  <c r="O27" i="37"/>
  <c r="N27" i="37"/>
  <c r="M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H26" i="37"/>
  <c r="G26" i="37"/>
  <c r="F26" i="37"/>
  <c r="E26" i="37"/>
  <c r="D26" i="37"/>
  <c r="C26" i="37"/>
  <c r="B26" i="37"/>
  <c r="O25" i="37"/>
  <c r="N25" i="37"/>
  <c r="M25" i="37"/>
  <c r="K25" i="37"/>
  <c r="J25" i="37"/>
  <c r="H25" i="37"/>
  <c r="G25" i="37"/>
  <c r="F25" i="37"/>
  <c r="E25" i="37"/>
  <c r="D25" i="37"/>
  <c r="C25" i="37"/>
  <c r="B25" i="37"/>
  <c r="O24" i="37"/>
  <c r="N24" i="37"/>
  <c r="M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K22" i="37"/>
  <c r="J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N20" i="37"/>
  <c r="M20" i="37"/>
  <c r="K20" i="37"/>
  <c r="J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K17" i="37"/>
  <c r="J17" i="37"/>
  <c r="H17" i="37"/>
  <c r="G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H198" i="36"/>
  <c r="I198" i="36" s="1"/>
  <c r="F198" i="36"/>
  <c r="E198" i="36"/>
  <c r="N197" i="36"/>
  <c r="O197" i="36" s="1"/>
  <c r="K197" i="36"/>
  <c r="L197" i="36" s="1"/>
  <c r="H197" i="36"/>
  <c r="I197" i="36" s="1"/>
  <c r="F197" i="36"/>
  <c r="E197" i="36"/>
  <c r="N196" i="36"/>
  <c r="O196" i="36" s="1"/>
  <c r="K196" i="36"/>
  <c r="L196" i="36" s="1"/>
  <c r="H196" i="36"/>
  <c r="I196" i="36" s="1"/>
  <c r="F196" i="36"/>
  <c r="E196" i="36"/>
  <c r="N195" i="36"/>
  <c r="O195" i="36" s="1"/>
  <c r="K195" i="36"/>
  <c r="L195" i="36" s="1"/>
  <c r="H195" i="36"/>
  <c r="I195" i="36" s="1"/>
  <c r="F195" i="36"/>
  <c r="E195" i="36"/>
  <c r="N194" i="36"/>
  <c r="O194" i="36" s="1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O192" i="36"/>
  <c r="N192" i="36"/>
  <c r="K192" i="36"/>
  <c r="L192" i="36" s="1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O190" i="36"/>
  <c r="N190" i="36"/>
  <c r="L190" i="36"/>
  <c r="K190" i="36"/>
  <c r="H190" i="36"/>
  <c r="I190" i="36" s="1"/>
  <c r="F190" i="36"/>
  <c r="E190" i="36"/>
  <c r="N189" i="36"/>
  <c r="O189" i="36" s="1"/>
  <c r="K189" i="36"/>
  <c r="L189" i="36" s="1"/>
  <c r="H189" i="36"/>
  <c r="I189" i="36" s="1"/>
  <c r="F189" i="36"/>
  <c r="E189" i="36"/>
  <c r="N188" i="36"/>
  <c r="O188" i="36" s="1"/>
  <c r="K188" i="36"/>
  <c r="L188" i="36" s="1"/>
  <c r="H188" i="36"/>
  <c r="I188" i="36" s="1"/>
  <c r="F188" i="36"/>
  <c r="E188" i="36"/>
  <c r="N187" i="36"/>
  <c r="O187" i="36" s="1"/>
  <c r="K187" i="36"/>
  <c r="L187" i="36" s="1"/>
  <c r="H187" i="36"/>
  <c r="I187" i="36" s="1"/>
  <c r="F187" i="36"/>
  <c r="E187" i="36"/>
  <c r="N186" i="36"/>
  <c r="O186" i="36" s="1"/>
  <c r="L186" i="36"/>
  <c r="K186" i="36"/>
  <c r="H186" i="36"/>
  <c r="I186" i="36" s="1"/>
  <c r="F186" i="36"/>
  <c r="E186" i="36"/>
  <c r="O185" i="36"/>
  <c r="N185" i="36"/>
  <c r="K185" i="36"/>
  <c r="L185" i="36" s="1"/>
  <c r="H185" i="36"/>
  <c r="I185" i="36" s="1"/>
  <c r="F185" i="36"/>
  <c r="E185" i="36"/>
  <c r="N184" i="36"/>
  <c r="O184" i="36" s="1"/>
  <c r="K184" i="36"/>
  <c r="L184" i="36" s="1"/>
  <c r="H184" i="36"/>
  <c r="I184" i="36" s="1"/>
  <c r="F184" i="36"/>
  <c r="E184" i="36"/>
  <c r="O183" i="36"/>
  <c r="N183" i="36"/>
  <c r="K183" i="36"/>
  <c r="L183" i="36" s="1"/>
  <c r="H183" i="36"/>
  <c r="I183" i="36" s="1"/>
  <c r="F183" i="36"/>
  <c r="E183" i="36"/>
  <c r="N182" i="36"/>
  <c r="O182" i="36" s="1"/>
  <c r="L182" i="36"/>
  <c r="K182" i="36"/>
  <c r="H182" i="36"/>
  <c r="I182" i="36" s="1"/>
  <c r="F182" i="36"/>
  <c r="E182" i="36"/>
  <c r="N181" i="36"/>
  <c r="O181" i="36" s="1"/>
  <c r="K181" i="36"/>
  <c r="L181" i="36" s="1"/>
  <c r="H181" i="36"/>
  <c r="I181" i="36" s="1"/>
  <c r="F181" i="36"/>
  <c r="E181" i="36"/>
  <c r="N180" i="36"/>
  <c r="O180" i="36" s="1"/>
  <c r="K180" i="36"/>
  <c r="L180" i="36" s="1"/>
  <c r="H180" i="36"/>
  <c r="I180" i="36" s="1"/>
  <c r="F180" i="36"/>
  <c r="E180" i="36"/>
  <c r="N179" i="36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H171" i="36"/>
  <c r="I171" i="36" s="1"/>
  <c r="F171" i="36"/>
  <c r="E171" i="36"/>
  <c r="O170" i="36"/>
  <c r="N170" i="36"/>
  <c r="K170" i="36"/>
  <c r="L170" i="36" s="1"/>
  <c r="H170" i="36"/>
  <c r="I170" i="36" s="1"/>
  <c r="F170" i="36"/>
  <c r="E170" i="36"/>
  <c r="O169" i="36"/>
  <c r="N169" i="36"/>
  <c r="K169" i="36"/>
  <c r="L169" i="36" s="1"/>
  <c r="H169" i="36"/>
  <c r="I169" i="36" s="1"/>
  <c r="F169" i="36"/>
  <c r="E169" i="36"/>
  <c r="O168" i="36"/>
  <c r="N168" i="36"/>
  <c r="K168" i="36"/>
  <c r="L168" i="36" s="1"/>
  <c r="H168" i="36"/>
  <c r="I168" i="36" s="1"/>
  <c r="F168" i="36"/>
  <c r="E168" i="36"/>
  <c r="O167" i="36"/>
  <c r="N167" i="36"/>
  <c r="L167" i="36"/>
  <c r="K167" i="36"/>
  <c r="H167" i="36"/>
  <c r="I167" i="36" s="1"/>
  <c r="F167" i="36"/>
  <c r="E167" i="36"/>
  <c r="N166" i="36"/>
  <c r="O166" i="36" s="1"/>
  <c r="K166" i="36"/>
  <c r="L166" i="36" s="1"/>
  <c r="H166" i="36"/>
  <c r="I166" i="36" s="1"/>
  <c r="F166" i="36"/>
  <c r="E166" i="36"/>
  <c r="N165" i="36"/>
  <c r="O165" i="36" s="1"/>
  <c r="K165" i="36"/>
  <c r="L165" i="36" s="1"/>
  <c r="H165" i="36"/>
  <c r="I165" i="36" s="1"/>
  <c r="F165" i="36"/>
  <c r="E165" i="36"/>
  <c r="N164" i="36"/>
  <c r="O164" i="36" s="1"/>
  <c r="K164" i="36"/>
  <c r="L164" i="36" s="1"/>
  <c r="H164" i="36"/>
  <c r="I164" i="36" s="1"/>
  <c r="F164" i="36"/>
  <c r="E164" i="36"/>
  <c r="N163" i="36"/>
  <c r="O163" i="36" s="1"/>
  <c r="L163" i="36"/>
  <c r="K163" i="36"/>
  <c r="H163" i="36"/>
  <c r="I163" i="36" s="1"/>
  <c r="F163" i="36"/>
  <c r="E163" i="36"/>
  <c r="O162" i="36"/>
  <c r="N162" i="36"/>
  <c r="K162" i="36"/>
  <c r="L162" i="36" s="1"/>
  <c r="H162" i="36"/>
  <c r="I162" i="36" s="1"/>
  <c r="F162" i="36"/>
  <c r="E162" i="36"/>
  <c r="O161" i="36"/>
  <c r="N161" i="36"/>
  <c r="K161" i="36"/>
  <c r="L161" i="36" s="1"/>
  <c r="H161" i="36"/>
  <c r="I161" i="36" s="1"/>
  <c r="F161" i="36"/>
  <c r="E161" i="36"/>
  <c r="O160" i="36"/>
  <c r="N160" i="36"/>
  <c r="K160" i="36"/>
  <c r="L160" i="36" s="1"/>
  <c r="H160" i="36"/>
  <c r="I160" i="36" s="1"/>
  <c r="F160" i="36"/>
  <c r="E160" i="36"/>
  <c r="O159" i="36"/>
  <c r="N159" i="36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I158" i="36" s="1"/>
  <c r="F158" i="36"/>
  <c r="E158" i="36"/>
  <c r="N157" i="36"/>
  <c r="O157" i="36" s="1"/>
  <c r="K157" i="36"/>
  <c r="L157" i="36" s="1"/>
  <c r="H157" i="36"/>
  <c r="I157" i="36" s="1"/>
  <c r="F157" i="36"/>
  <c r="E157" i="36"/>
  <c r="N156" i="36"/>
  <c r="O156" i="36" s="1"/>
  <c r="K156" i="36"/>
  <c r="L156" i="36" s="1"/>
  <c r="H156" i="36"/>
  <c r="I156" i="36" s="1"/>
  <c r="F156" i="36"/>
  <c r="E156" i="36"/>
  <c r="N155" i="36"/>
  <c r="O155" i="36" s="1"/>
  <c r="L155" i="36"/>
  <c r="K155" i="36"/>
  <c r="H155" i="36"/>
  <c r="I155" i="36" s="1"/>
  <c r="F155" i="36"/>
  <c r="E155" i="36"/>
  <c r="O154" i="36"/>
  <c r="N154" i="36"/>
  <c r="K154" i="36"/>
  <c r="L154" i="36" s="1"/>
  <c r="H154" i="36"/>
  <c r="I154" i="36" s="1"/>
  <c r="F154" i="36"/>
  <c r="E154" i="36"/>
  <c r="O153" i="36"/>
  <c r="N153" i="36"/>
  <c r="K153" i="36"/>
  <c r="L153" i="36" s="1"/>
  <c r="H153" i="36"/>
  <c r="I153" i="36" s="1"/>
  <c r="F153" i="36"/>
  <c r="E153" i="36"/>
  <c r="O152" i="36"/>
  <c r="N152" i="36"/>
  <c r="K152" i="36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L144" i="36"/>
  <c r="K144" i="36"/>
  <c r="I144" i="36"/>
  <c r="H144" i="36"/>
  <c r="F144" i="36"/>
  <c r="E144" i="36"/>
  <c r="O143" i="36"/>
  <c r="N143" i="36"/>
  <c r="L143" i="36"/>
  <c r="K143" i="36"/>
  <c r="I143" i="36"/>
  <c r="H143" i="36"/>
  <c r="F143" i="36"/>
  <c r="E143" i="36"/>
  <c r="O142" i="36"/>
  <c r="N142" i="36"/>
  <c r="L142" i="36"/>
  <c r="K142" i="36"/>
  <c r="I142" i="36"/>
  <c r="H142" i="36"/>
  <c r="F142" i="36"/>
  <c r="E142" i="36"/>
  <c r="O141" i="36"/>
  <c r="N141" i="36"/>
  <c r="L141" i="36"/>
  <c r="K141" i="36"/>
  <c r="I141" i="36"/>
  <c r="H141" i="36"/>
  <c r="F141" i="36"/>
  <c r="E141" i="36"/>
  <c r="O140" i="36"/>
  <c r="N140" i="36"/>
  <c r="L140" i="36"/>
  <c r="K140" i="36"/>
  <c r="I140" i="36"/>
  <c r="H140" i="36"/>
  <c r="F140" i="36"/>
  <c r="E140" i="36"/>
  <c r="O139" i="36"/>
  <c r="N139" i="36"/>
  <c r="L139" i="36"/>
  <c r="K139" i="36"/>
  <c r="I139" i="36"/>
  <c r="H139" i="36"/>
  <c r="F139" i="36"/>
  <c r="E139" i="36"/>
  <c r="O138" i="36"/>
  <c r="N138" i="36"/>
  <c r="L138" i="36"/>
  <c r="K138" i="36"/>
  <c r="I138" i="36"/>
  <c r="H138" i="36"/>
  <c r="F138" i="36"/>
  <c r="E138" i="36"/>
  <c r="O137" i="36"/>
  <c r="N137" i="36"/>
  <c r="L137" i="36"/>
  <c r="K137" i="36"/>
  <c r="I137" i="36"/>
  <c r="H137" i="36"/>
  <c r="F137" i="36"/>
  <c r="E137" i="36"/>
  <c r="O136" i="36"/>
  <c r="N136" i="36"/>
  <c r="L136" i="36"/>
  <c r="K136" i="36"/>
  <c r="I136" i="36"/>
  <c r="H136" i="36"/>
  <c r="F136" i="36"/>
  <c r="E136" i="36"/>
  <c r="O135" i="36"/>
  <c r="N135" i="36"/>
  <c r="L135" i="36"/>
  <c r="K135" i="36"/>
  <c r="I135" i="36"/>
  <c r="H135" i="36"/>
  <c r="F135" i="36"/>
  <c r="E135" i="36"/>
  <c r="O134" i="36"/>
  <c r="N134" i="36"/>
  <c r="L134" i="36"/>
  <c r="K134" i="36"/>
  <c r="I134" i="36"/>
  <c r="H134" i="36"/>
  <c r="F134" i="36"/>
  <c r="E134" i="36"/>
  <c r="O133" i="36"/>
  <c r="N133" i="36"/>
  <c r="L133" i="36"/>
  <c r="K133" i="36"/>
  <c r="I133" i="36"/>
  <c r="H133" i="36"/>
  <c r="F133" i="36"/>
  <c r="E133" i="36"/>
  <c r="O132" i="36"/>
  <c r="N132" i="36"/>
  <c r="L132" i="36"/>
  <c r="K132" i="36"/>
  <c r="I132" i="36"/>
  <c r="H132" i="36"/>
  <c r="F132" i="36"/>
  <c r="E132" i="36"/>
  <c r="O131" i="36"/>
  <c r="N131" i="36"/>
  <c r="L131" i="36"/>
  <c r="K131" i="36"/>
  <c r="I131" i="36"/>
  <c r="H131" i="36"/>
  <c r="F131" i="36"/>
  <c r="E131" i="36"/>
  <c r="O130" i="36"/>
  <c r="N130" i="36"/>
  <c r="L130" i="36"/>
  <c r="K130" i="36"/>
  <c r="I130" i="36"/>
  <c r="H130" i="36"/>
  <c r="F130" i="36"/>
  <c r="E130" i="36"/>
  <c r="O129" i="36"/>
  <c r="N129" i="36"/>
  <c r="L129" i="36"/>
  <c r="K129" i="36"/>
  <c r="I129" i="36"/>
  <c r="H129" i="36"/>
  <c r="F129" i="36"/>
  <c r="E129" i="36"/>
  <c r="O128" i="36"/>
  <c r="N128" i="36"/>
  <c r="L128" i="36"/>
  <c r="K128" i="36"/>
  <c r="I128" i="36"/>
  <c r="H128" i="36"/>
  <c r="F128" i="36"/>
  <c r="E128" i="36"/>
  <c r="O127" i="36"/>
  <c r="N127" i="36"/>
  <c r="L127" i="36"/>
  <c r="K127" i="36"/>
  <c r="I127" i="36"/>
  <c r="H127" i="36"/>
  <c r="F127" i="36"/>
  <c r="E127" i="36"/>
  <c r="O126" i="36"/>
  <c r="N126" i="36"/>
  <c r="L126" i="36"/>
  <c r="K126" i="36"/>
  <c r="I126" i="36"/>
  <c r="H126" i="36"/>
  <c r="F126" i="36"/>
  <c r="E126" i="36"/>
  <c r="O125" i="36"/>
  <c r="O145" i="36" s="1"/>
  <c r="N125" i="36"/>
  <c r="N145" i="36" s="1"/>
  <c r="L125" i="36"/>
  <c r="L145" i="36" s="1"/>
  <c r="K125" i="36"/>
  <c r="K145" i="36" s="1"/>
  <c r="I125" i="36"/>
  <c r="I145" i="36" s="1"/>
  <c r="H125" i="36"/>
  <c r="H145" i="36" s="1"/>
  <c r="F125" i="36"/>
  <c r="F145" i="36" s="1"/>
  <c r="E125" i="36"/>
  <c r="E145" i="36" s="1"/>
  <c r="M123" i="36"/>
  <c r="J123" i="36"/>
  <c r="G123" i="36"/>
  <c r="D123" i="36"/>
  <c r="B123" i="36"/>
  <c r="M122" i="36"/>
  <c r="G122" i="36"/>
  <c r="B118" i="36"/>
  <c r="O117" i="36"/>
  <c r="N117" i="36"/>
  <c r="L117" i="36"/>
  <c r="K117" i="36"/>
  <c r="H117" i="36"/>
  <c r="I117" i="36" s="1"/>
  <c r="F117" i="36"/>
  <c r="E117" i="36"/>
  <c r="N116" i="36"/>
  <c r="O116" i="36" s="1"/>
  <c r="K116" i="36"/>
  <c r="L116" i="36" s="1"/>
  <c r="H116" i="36"/>
  <c r="I116" i="36" s="1"/>
  <c r="F116" i="36"/>
  <c r="E116" i="36"/>
  <c r="O115" i="36"/>
  <c r="N115" i="36"/>
  <c r="K115" i="36"/>
  <c r="L115" i="36" s="1"/>
  <c r="H115" i="36"/>
  <c r="I115" i="36" s="1"/>
  <c r="F115" i="36"/>
  <c r="E115" i="36"/>
  <c r="N114" i="36"/>
  <c r="O114" i="36" s="1"/>
  <c r="L114" i="36"/>
  <c r="K114" i="36"/>
  <c r="H114" i="36"/>
  <c r="I114" i="36" s="1"/>
  <c r="F114" i="36"/>
  <c r="E114" i="36"/>
  <c r="N113" i="36"/>
  <c r="O113" i="36" s="1"/>
  <c r="L113" i="36"/>
  <c r="K113" i="36"/>
  <c r="H113" i="36"/>
  <c r="I113" i="36" s="1"/>
  <c r="F113" i="36"/>
  <c r="E113" i="36"/>
  <c r="N112" i="36"/>
  <c r="O112" i="36" s="1"/>
  <c r="K112" i="36"/>
  <c r="L112" i="36" s="1"/>
  <c r="H112" i="36"/>
  <c r="I112" i="36" s="1"/>
  <c r="F112" i="36"/>
  <c r="E112" i="36"/>
  <c r="N111" i="36"/>
  <c r="O111" i="36" s="1"/>
  <c r="K111" i="36"/>
  <c r="L111" i="36" s="1"/>
  <c r="H111" i="36"/>
  <c r="I111" i="36" s="1"/>
  <c r="F111" i="36"/>
  <c r="E111" i="36"/>
  <c r="N110" i="36"/>
  <c r="O110" i="36" s="1"/>
  <c r="K110" i="36"/>
  <c r="L110" i="36" s="1"/>
  <c r="H110" i="36"/>
  <c r="I110" i="36" s="1"/>
  <c r="F110" i="36"/>
  <c r="E110" i="36"/>
  <c r="N109" i="36"/>
  <c r="O109" i="36" s="1"/>
  <c r="L109" i="36"/>
  <c r="K109" i="36"/>
  <c r="H109" i="36"/>
  <c r="I109" i="36" s="1"/>
  <c r="F109" i="36"/>
  <c r="E109" i="36"/>
  <c r="N108" i="36"/>
  <c r="O108" i="36" s="1"/>
  <c r="K108" i="36"/>
  <c r="L108" i="36" s="1"/>
  <c r="H108" i="36"/>
  <c r="I108" i="36" s="1"/>
  <c r="F108" i="36"/>
  <c r="E108" i="36"/>
  <c r="O107" i="36"/>
  <c r="N107" i="36"/>
  <c r="K107" i="36"/>
  <c r="L107" i="36" s="1"/>
  <c r="H107" i="36"/>
  <c r="I107" i="36" s="1"/>
  <c r="F107" i="36"/>
  <c r="E107" i="36"/>
  <c r="N106" i="36"/>
  <c r="O106" i="36" s="1"/>
  <c r="K106" i="36"/>
  <c r="L106" i="36" s="1"/>
  <c r="H106" i="36"/>
  <c r="I106" i="36" s="1"/>
  <c r="F106" i="36"/>
  <c r="E106" i="36"/>
  <c r="O105" i="36"/>
  <c r="N105" i="36"/>
  <c r="L105" i="36"/>
  <c r="K105" i="36"/>
  <c r="H105" i="36"/>
  <c r="I105" i="36" s="1"/>
  <c r="F105" i="36"/>
  <c r="E105" i="36"/>
  <c r="N104" i="36"/>
  <c r="O104" i="36" s="1"/>
  <c r="K104" i="36"/>
  <c r="L104" i="36" s="1"/>
  <c r="H104" i="36"/>
  <c r="I104" i="36" s="1"/>
  <c r="F104" i="36"/>
  <c r="E104" i="36"/>
  <c r="N103" i="36"/>
  <c r="O103" i="36" s="1"/>
  <c r="K103" i="36"/>
  <c r="L103" i="36" s="1"/>
  <c r="H103" i="36"/>
  <c r="I103" i="36" s="1"/>
  <c r="F103" i="36"/>
  <c r="E103" i="36"/>
  <c r="N102" i="36"/>
  <c r="O102" i="36" s="1"/>
  <c r="K102" i="36"/>
  <c r="L102" i="36" s="1"/>
  <c r="H102" i="36"/>
  <c r="I102" i="36" s="1"/>
  <c r="F102" i="36"/>
  <c r="E102" i="36"/>
  <c r="N101" i="36"/>
  <c r="O101" i="36" s="1"/>
  <c r="L101" i="36"/>
  <c r="K101" i="36"/>
  <c r="H101" i="36"/>
  <c r="I101" i="36" s="1"/>
  <c r="F101" i="36"/>
  <c r="E101" i="36"/>
  <c r="O100" i="36"/>
  <c r="N100" i="36"/>
  <c r="K100" i="36"/>
  <c r="L100" i="36" s="1"/>
  <c r="H100" i="36"/>
  <c r="I100" i="36" s="1"/>
  <c r="F100" i="36"/>
  <c r="E100" i="36"/>
  <c r="N99" i="36"/>
  <c r="O99" i="36" s="1"/>
  <c r="K99" i="36"/>
  <c r="L99" i="36" s="1"/>
  <c r="H99" i="36"/>
  <c r="I99" i="36" s="1"/>
  <c r="F99" i="36"/>
  <c r="E99" i="36"/>
  <c r="O98" i="36"/>
  <c r="N98" i="36"/>
  <c r="K98" i="36"/>
  <c r="H98" i="36"/>
  <c r="H118" i="36" s="1"/>
  <c r="F98" i="36"/>
  <c r="F118" i="36" s="1"/>
  <c r="E98" i="36"/>
  <c r="E118" i="36" s="1"/>
  <c r="M96" i="36"/>
  <c r="J96" i="36"/>
  <c r="G96" i="36"/>
  <c r="D96" i="36"/>
  <c r="B96" i="36"/>
  <c r="M95" i="36"/>
  <c r="G95" i="36"/>
  <c r="B91" i="36"/>
  <c r="N90" i="36"/>
  <c r="O90" i="36" s="1"/>
  <c r="O35" i="36" s="1"/>
  <c r="L90" i="36"/>
  <c r="L35" i="36" s="1"/>
  <c r="K90" i="36"/>
  <c r="H90" i="36"/>
  <c r="I90" i="36" s="1"/>
  <c r="I35" i="36" s="1"/>
  <c r="F90" i="36"/>
  <c r="E90" i="36"/>
  <c r="N89" i="36"/>
  <c r="O89" i="36" s="1"/>
  <c r="O34" i="36" s="1"/>
  <c r="K89" i="36"/>
  <c r="L89" i="36" s="1"/>
  <c r="L34" i="36" s="1"/>
  <c r="H89" i="36"/>
  <c r="I89" i="36" s="1"/>
  <c r="I34" i="36" s="1"/>
  <c r="F89" i="36"/>
  <c r="E89" i="36"/>
  <c r="N88" i="36"/>
  <c r="O88" i="36" s="1"/>
  <c r="O33" i="36" s="1"/>
  <c r="L88" i="36"/>
  <c r="K88" i="36"/>
  <c r="H88" i="36"/>
  <c r="I88" i="36" s="1"/>
  <c r="I33" i="36" s="1"/>
  <c r="F88" i="36"/>
  <c r="E88" i="36"/>
  <c r="N87" i="36"/>
  <c r="O87" i="36" s="1"/>
  <c r="O32" i="36" s="1"/>
  <c r="K87" i="36"/>
  <c r="L87" i="36" s="1"/>
  <c r="L32" i="36" s="1"/>
  <c r="H87" i="36"/>
  <c r="I87" i="36" s="1"/>
  <c r="I32" i="36" s="1"/>
  <c r="F87" i="36"/>
  <c r="E87" i="36"/>
  <c r="O86" i="36"/>
  <c r="O31" i="36" s="1"/>
  <c r="N86" i="36"/>
  <c r="L86" i="36"/>
  <c r="L31" i="36" s="1"/>
  <c r="K86" i="36"/>
  <c r="H86" i="36"/>
  <c r="I86" i="36" s="1"/>
  <c r="I31" i="36" s="1"/>
  <c r="F86" i="36"/>
  <c r="E86" i="36"/>
  <c r="N85" i="36"/>
  <c r="O85" i="36" s="1"/>
  <c r="O30" i="36" s="1"/>
  <c r="K85" i="36"/>
  <c r="L85" i="36" s="1"/>
  <c r="L30" i="36" s="1"/>
  <c r="H85" i="36"/>
  <c r="I85" i="36" s="1"/>
  <c r="I30" i="36" s="1"/>
  <c r="F85" i="36"/>
  <c r="E85" i="36"/>
  <c r="O84" i="36"/>
  <c r="N84" i="36"/>
  <c r="L84" i="36"/>
  <c r="K84" i="36"/>
  <c r="H84" i="36"/>
  <c r="I84" i="36" s="1"/>
  <c r="I29" i="36" s="1"/>
  <c r="F84" i="36"/>
  <c r="E84" i="36"/>
  <c r="O83" i="36"/>
  <c r="N83" i="36"/>
  <c r="L83" i="36"/>
  <c r="K83" i="36"/>
  <c r="H83" i="36"/>
  <c r="I83" i="36" s="1"/>
  <c r="I28" i="36" s="1"/>
  <c r="F83" i="36"/>
  <c r="E83" i="36"/>
  <c r="N82" i="36"/>
  <c r="O82" i="36" s="1"/>
  <c r="O27" i="36" s="1"/>
  <c r="L82" i="36"/>
  <c r="K82" i="36"/>
  <c r="H82" i="36"/>
  <c r="I82" i="36" s="1"/>
  <c r="I27" i="36" s="1"/>
  <c r="F82" i="36"/>
  <c r="E82" i="36"/>
  <c r="O81" i="36"/>
  <c r="N81" i="36"/>
  <c r="K81" i="36"/>
  <c r="L81" i="36" s="1"/>
  <c r="L26" i="36" s="1"/>
  <c r="H81" i="36"/>
  <c r="I81" i="36" s="1"/>
  <c r="I26" i="36" s="1"/>
  <c r="F81" i="36"/>
  <c r="E81" i="36"/>
  <c r="O80" i="36"/>
  <c r="N80" i="36"/>
  <c r="L80" i="36"/>
  <c r="K80" i="36"/>
  <c r="H80" i="36"/>
  <c r="I80" i="36" s="1"/>
  <c r="I25" i="36" s="1"/>
  <c r="F80" i="36"/>
  <c r="E80" i="36"/>
  <c r="N79" i="36"/>
  <c r="O79" i="36" s="1"/>
  <c r="O24" i="36" s="1"/>
  <c r="K79" i="36"/>
  <c r="L79" i="36" s="1"/>
  <c r="L24" i="36" s="1"/>
  <c r="H79" i="36"/>
  <c r="I79" i="36" s="1"/>
  <c r="I24" i="36" s="1"/>
  <c r="F79" i="36"/>
  <c r="E79" i="36"/>
  <c r="O78" i="36"/>
  <c r="N78" i="36"/>
  <c r="L78" i="36"/>
  <c r="K78" i="36"/>
  <c r="H78" i="36"/>
  <c r="I78" i="36" s="1"/>
  <c r="I23" i="36" s="1"/>
  <c r="E78" i="36"/>
  <c r="F78" i="36" s="1"/>
  <c r="F23" i="36" s="1"/>
  <c r="N77" i="36"/>
  <c r="O77" i="36" s="1"/>
  <c r="O22" i="36" s="1"/>
  <c r="L77" i="36"/>
  <c r="K77" i="36"/>
  <c r="I77" i="36"/>
  <c r="H77" i="36"/>
  <c r="E77" i="36"/>
  <c r="F77" i="36" s="1"/>
  <c r="F22" i="36" s="1"/>
  <c r="O76" i="36"/>
  <c r="N76" i="36"/>
  <c r="K76" i="36"/>
  <c r="L76" i="36" s="1"/>
  <c r="L21" i="36" s="1"/>
  <c r="I76" i="36"/>
  <c r="H76" i="36"/>
  <c r="E76" i="36"/>
  <c r="F76" i="36" s="1"/>
  <c r="F21" i="36" s="1"/>
  <c r="O75" i="36"/>
  <c r="N75" i="36"/>
  <c r="L75" i="36"/>
  <c r="K75" i="36"/>
  <c r="H75" i="36"/>
  <c r="I75" i="36" s="1"/>
  <c r="I20" i="36" s="1"/>
  <c r="E75" i="36"/>
  <c r="F75" i="36" s="1"/>
  <c r="F20" i="36" s="1"/>
  <c r="O74" i="36"/>
  <c r="N74" i="36"/>
  <c r="L74" i="36"/>
  <c r="K74" i="36"/>
  <c r="H74" i="36"/>
  <c r="I74" i="36" s="1"/>
  <c r="I19" i="36" s="1"/>
  <c r="E74" i="36"/>
  <c r="F74" i="36" s="1"/>
  <c r="F19" i="36" s="1"/>
  <c r="O73" i="36"/>
  <c r="N73" i="36"/>
  <c r="L73" i="36"/>
  <c r="K73" i="36"/>
  <c r="H73" i="36"/>
  <c r="I73" i="36" s="1"/>
  <c r="I18" i="36" s="1"/>
  <c r="E73" i="36"/>
  <c r="F73" i="36" s="1"/>
  <c r="F18" i="36" s="1"/>
  <c r="O72" i="36"/>
  <c r="N72" i="36"/>
  <c r="L72" i="36"/>
  <c r="K72" i="36"/>
  <c r="I72" i="36"/>
  <c r="H72" i="36"/>
  <c r="E72" i="36"/>
  <c r="F72" i="36" s="1"/>
  <c r="F17" i="36" s="1"/>
  <c r="O71" i="36"/>
  <c r="N71" i="36"/>
  <c r="K71" i="36"/>
  <c r="H71" i="36"/>
  <c r="H91" i="36" s="1"/>
  <c r="E71" i="36"/>
  <c r="E91" i="36" s="1"/>
  <c r="M69" i="36"/>
  <c r="J69" i="36"/>
  <c r="G69" i="36"/>
  <c r="D69" i="36"/>
  <c r="B69" i="36"/>
  <c r="M68" i="36"/>
  <c r="G68" i="36"/>
  <c r="B64" i="36"/>
  <c r="O63" i="36"/>
  <c r="N63" i="36"/>
  <c r="L63" i="36"/>
  <c r="K63" i="36"/>
  <c r="I63" i="36"/>
  <c r="H63" i="36"/>
  <c r="F63" i="36"/>
  <c r="E63" i="36"/>
  <c r="N62" i="36"/>
  <c r="N36" i="36" s="1"/>
  <c r="K62" i="36"/>
  <c r="L62" i="36" s="1"/>
  <c r="L36" i="36" s="1"/>
  <c r="H62" i="36"/>
  <c r="I62" i="36" s="1"/>
  <c r="I36" i="36" s="1"/>
  <c r="E62" i="36"/>
  <c r="F62" i="36" s="1"/>
  <c r="F36" i="36" s="1"/>
  <c r="N61" i="36"/>
  <c r="O61" i="36" s="1"/>
  <c r="K61" i="36"/>
  <c r="L61" i="36" s="1"/>
  <c r="H61" i="36"/>
  <c r="I61" i="36" s="1"/>
  <c r="E61" i="36"/>
  <c r="F61" i="36" s="1"/>
  <c r="O60" i="36"/>
  <c r="N60" i="36"/>
  <c r="K60" i="36"/>
  <c r="L60" i="36" s="1"/>
  <c r="I60" i="36"/>
  <c r="H60" i="36"/>
  <c r="E60" i="36"/>
  <c r="F60" i="36" s="1"/>
  <c r="N59" i="36"/>
  <c r="O59" i="36" s="1"/>
  <c r="L59" i="36"/>
  <c r="K59" i="36"/>
  <c r="H59" i="36"/>
  <c r="I59" i="36" s="1"/>
  <c r="E59" i="36"/>
  <c r="F59" i="36" s="1"/>
  <c r="O58" i="36"/>
  <c r="N58" i="36"/>
  <c r="L58" i="36"/>
  <c r="K58" i="36"/>
  <c r="H58" i="36"/>
  <c r="I58" i="36" s="1"/>
  <c r="E58" i="36"/>
  <c r="F58" i="36" s="1"/>
  <c r="N57" i="36"/>
  <c r="O57" i="36" s="1"/>
  <c r="L57" i="36"/>
  <c r="K57" i="36"/>
  <c r="H57" i="36"/>
  <c r="I57" i="36" s="1"/>
  <c r="E57" i="36"/>
  <c r="F57" i="36" s="1"/>
  <c r="O56" i="36"/>
  <c r="N56" i="36"/>
  <c r="L56" i="36"/>
  <c r="K56" i="36"/>
  <c r="I56" i="36"/>
  <c r="H56" i="36"/>
  <c r="E56" i="36"/>
  <c r="F56" i="36" s="1"/>
  <c r="N55" i="36"/>
  <c r="O55" i="36" s="1"/>
  <c r="K55" i="36"/>
  <c r="L55" i="36" s="1"/>
  <c r="H55" i="36"/>
  <c r="I55" i="36" s="1"/>
  <c r="E55" i="36"/>
  <c r="F55" i="36" s="1"/>
  <c r="O54" i="36"/>
  <c r="N54" i="36"/>
  <c r="K54" i="36"/>
  <c r="L54" i="36" s="1"/>
  <c r="H54" i="36"/>
  <c r="I54" i="36" s="1"/>
  <c r="E54" i="36"/>
  <c r="F54" i="36" s="1"/>
  <c r="O53" i="36"/>
  <c r="N53" i="36"/>
  <c r="K53" i="36"/>
  <c r="L53" i="36" s="1"/>
  <c r="H53" i="36"/>
  <c r="I53" i="36" s="1"/>
  <c r="E53" i="36"/>
  <c r="F53" i="36" s="1"/>
  <c r="N52" i="36"/>
  <c r="O52" i="36" s="1"/>
  <c r="K52" i="36"/>
  <c r="L52" i="36" s="1"/>
  <c r="I52" i="36"/>
  <c r="H52" i="36"/>
  <c r="E52" i="36"/>
  <c r="F52" i="36" s="1"/>
  <c r="O51" i="36"/>
  <c r="N51" i="36"/>
  <c r="L51" i="36"/>
  <c r="K51" i="36"/>
  <c r="H51" i="36"/>
  <c r="I51" i="36" s="1"/>
  <c r="E51" i="36"/>
  <c r="F51" i="36" s="1"/>
  <c r="N50" i="36"/>
  <c r="O50" i="36" s="1"/>
  <c r="L50" i="36"/>
  <c r="K50" i="36"/>
  <c r="H50" i="36"/>
  <c r="I50" i="36" s="1"/>
  <c r="E50" i="36"/>
  <c r="F50" i="36" s="1"/>
  <c r="O49" i="36"/>
  <c r="N49" i="36"/>
  <c r="L49" i="36"/>
  <c r="K49" i="36"/>
  <c r="H49" i="36"/>
  <c r="I49" i="36" s="1"/>
  <c r="E49" i="36"/>
  <c r="F49" i="36" s="1"/>
  <c r="N48" i="36"/>
  <c r="O48" i="36" s="1"/>
  <c r="L48" i="36"/>
  <c r="K48" i="36"/>
  <c r="I48" i="36"/>
  <c r="H48" i="36"/>
  <c r="E48" i="36"/>
  <c r="F48" i="36" s="1"/>
  <c r="O47" i="36"/>
  <c r="N47" i="36"/>
  <c r="K47" i="36"/>
  <c r="L47" i="36" s="1"/>
  <c r="H47" i="36"/>
  <c r="I47" i="36" s="1"/>
  <c r="E47" i="36"/>
  <c r="F47" i="36" s="1"/>
  <c r="N46" i="36"/>
  <c r="O46" i="36" s="1"/>
  <c r="K46" i="36"/>
  <c r="L46" i="36" s="1"/>
  <c r="I46" i="36"/>
  <c r="H46" i="36"/>
  <c r="E46" i="36"/>
  <c r="F46" i="36" s="1"/>
  <c r="O45" i="36"/>
  <c r="N45" i="36"/>
  <c r="L45" i="36"/>
  <c r="K45" i="36"/>
  <c r="H45" i="36"/>
  <c r="I45" i="36" s="1"/>
  <c r="E45" i="36"/>
  <c r="F45" i="36" s="1"/>
  <c r="N44" i="36"/>
  <c r="L44" i="36"/>
  <c r="K44" i="36"/>
  <c r="I44" i="36"/>
  <c r="H44" i="36"/>
  <c r="E44" i="36"/>
  <c r="E64" i="36" s="1"/>
  <c r="M42" i="36"/>
  <c r="J42" i="36"/>
  <c r="G42" i="36"/>
  <c r="D42" i="36"/>
  <c r="B42" i="36"/>
  <c r="M41" i="36"/>
  <c r="G41" i="36"/>
  <c r="M36" i="36"/>
  <c r="K36" i="36"/>
  <c r="J36" i="36"/>
  <c r="H36" i="36"/>
  <c r="G36" i="36"/>
  <c r="E36" i="36"/>
  <c r="D36" i="36"/>
  <c r="C36" i="36"/>
  <c r="B36" i="36"/>
  <c r="N35" i="36"/>
  <c r="M35" i="36"/>
  <c r="K35" i="36"/>
  <c r="J35" i="36"/>
  <c r="H35" i="36"/>
  <c r="G35" i="36"/>
  <c r="F35" i="36"/>
  <c r="E35" i="36"/>
  <c r="D35" i="36"/>
  <c r="C35" i="36"/>
  <c r="B35" i="36"/>
  <c r="N34" i="36"/>
  <c r="M34" i="36"/>
  <c r="J34" i="36"/>
  <c r="H34" i="36"/>
  <c r="G34" i="36"/>
  <c r="F34" i="36"/>
  <c r="E34" i="36"/>
  <c r="D34" i="36"/>
  <c r="C34" i="36"/>
  <c r="B34" i="36"/>
  <c r="M33" i="36"/>
  <c r="L33" i="36"/>
  <c r="K33" i="36"/>
  <c r="J33" i="36"/>
  <c r="H33" i="36"/>
  <c r="G33" i="36"/>
  <c r="F33" i="36"/>
  <c r="E33" i="36"/>
  <c r="D33" i="36"/>
  <c r="C33" i="36"/>
  <c r="B33" i="36"/>
  <c r="N32" i="36"/>
  <c r="M32" i="36"/>
  <c r="K32" i="36"/>
  <c r="J32" i="36"/>
  <c r="H32" i="36"/>
  <c r="G32" i="36"/>
  <c r="F32" i="36"/>
  <c r="E32" i="36"/>
  <c r="D32" i="36"/>
  <c r="C32" i="36"/>
  <c r="B32" i="36"/>
  <c r="N31" i="36"/>
  <c r="M31" i="36"/>
  <c r="K31" i="36"/>
  <c r="J31" i="36"/>
  <c r="H31" i="36"/>
  <c r="G31" i="36"/>
  <c r="F31" i="36"/>
  <c r="E31" i="36"/>
  <c r="D31" i="36"/>
  <c r="C31" i="36"/>
  <c r="B31" i="36"/>
  <c r="N30" i="36"/>
  <c r="M30" i="36"/>
  <c r="K30" i="36"/>
  <c r="J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H28" i="36"/>
  <c r="G28" i="36"/>
  <c r="F28" i="36"/>
  <c r="E28" i="36"/>
  <c r="D28" i="36"/>
  <c r="C28" i="36"/>
  <c r="B28" i="36"/>
  <c r="N27" i="36"/>
  <c r="M27" i="36"/>
  <c r="L27" i="36"/>
  <c r="K27" i="36"/>
  <c r="J27" i="36"/>
  <c r="H27" i="36"/>
  <c r="G27" i="36"/>
  <c r="F27" i="36"/>
  <c r="E27" i="36"/>
  <c r="D27" i="36"/>
  <c r="C27" i="36"/>
  <c r="B27" i="36"/>
  <c r="O26" i="36"/>
  <c r="N26" i="36"/>
  <c r="M26" i="36"/>
  <c r="K26" i="36"/>
  <c r="J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H25" i="36"/>
  <c r="G25" i="36"/>
  <c r="F25" i="36"/>
  <c r="E25" i="36"/>
  <c r="D25" i="36"/>
  <c r="C25" i="36"/>
  <c r="B25" i="36"/>
  <c r="N24" i="36"/>
  <c r="M24" i="36"/>
  <c r="K24" i="36"/>
  <c r="J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H23" i="36"/>
  <c r="G23" i="36"/>
  <c r="E23" i="36"/>
  <c r="D23" i="36"/>
  <c r="C23" i="36"/>
  <c r="B23" i="36"/>
  <c r="N22" i="36"/>
  <c r="M22" i="36"/>
  <c r="L22" i="36"/>
  <c r="K22" i="36"/>
  <c r="J22" i="36"/>
  <c r="I22" i="36"/>
  <c r="H22" i="36"/>
  <c r="G22" i="36"/>
  <c r="E22" i="36"/>
  <c r="D22" i="36"/>
  <c r="C22" i="36"/>
  <c r="B22" i="36"/>
  <c r="O21" i="36"/>
  <c r="N21" i="36"/>
  <c r="M21" i="36"/>
  <c r="K21" i="36"/>
  <c r="J21" i="36"/>
  <c r="I21" i="36"/>
  <c r="H21" i="36"/>
  <c r="G21" i="36"/>
  <c r="E21" i="36"/>
  <c r="D21" i="36"/>
  <c r="C21" i="36"/>
  <c r="B21" i="36"/>
  <c r="O20" i="36"/>
  <c r="N20" i="36"/>
  <c r="M20" i="36"/>
  <c r="L20" i="36"/>
  <c r="K20" i="36"/>
  <c r="J20" i="36"/>
  <c r="H20" i="36"/>
  <c r="G20" i="36"/>
  <c r="E20" i="36"/>
  <c r="D20" i="36"/>
  <c r="C20" i="36"/>
  <c r="B20" i="36"/>
  <c r="O19" i="36"/>
  <c r="N19" i="36"/>
  <c r="M19" i="36"/>
  <c r="L19" i="36"/>
  <c r="K19" i="36"/>
  <c r="J19" i="36"/>
  <c r="H19" i="36"/>
  <c r="G19" i="36"/>
  <c r="E19" i="36"/>
  <c r="D19" i="36"/>
  <c r="C19" i="36"/>
  <c r="B19" i="36"/>
  <c r="O18" i="36"/>
  <c r="N18" i="36"/>
  <c r="M18" i="36"/>
  <c r="L18" i="36"/>
  <c r="K18" i="36"/>
  <c r="J18" i="36"/>
  <c r="H18" i="36"/>
  <c r="G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N198" i="35"/>
  <c r="O198" i="35" s="1"/>
  <c r="L198" i="35"/>
  <c r="K198" i="35"/>
  <c r="H198" i="35"/>
  <c r="I198" i="35" s="1"/>
  <c r="F198" i="35"/>
  <c r="E198" i="35"/>
  <c r="N197" i="35"/>
  <c r="O197" i="35" s="1"/>
  <c r="K197" i="35"/>
  <c r="L197" i="35" s="1"/>
  <c r="H197" i="35"/>
  <c r="I197" i="35" s="1"/>
  <c r="F197" i="35"/>
  <c r="E197" i="35"/>
  <c r="N196" i="35"/>
  <c r="O196" i="35" s="1"/>
  <c r="K196" i="35"/>
  <c r="L196" i="35" s="1"/>
  <c r="H196" i="35"/>
  <c r="I196" i="35" s="1"/>
  <c r="F196" i="35"/>
  <c r="E196" i="35"/>
  <c r="N195" i="35"/>
  <c r="O195" i="35" s="1"/>
  <c r="L195" i="35"/>
  <c r="K195" i="35"/>
  <c r="H195" i="35"/>
  <c r="I195" i="35" s="1"/>
  <c r="F195" i="35"/>
  <c r="E195" i="35"/>
  <c r="O194" i="35"/>
  <c r="N194" i="35"/>
  <c r="L194" i="35"/>
  <c r="K194" i="35"/>
  <c r="H194" i="35"/>
  <c r="I194" i="35" s="1"/>
  <c r="F194" i="35"/>
  <c r="E194" i="35"/>
  <c r="N193" i="35"/>
  <c r="O193" i="35" s="1"/>
  <c r="K193" i="35"/>
  <c r="L193" i="35" s="1"/>
  <c r="H193" i="35"/>
  <c r="I193" i="35" s="1"/>
  <c r="F193" i="35"/>
  <c r="E193" i="35"/>
  <c r="N192" i="35"/>
  <c r="O192" i="35" s="1"/>
  <c r="K192" i="35"/>
  <c r="L192" i="35" s="1"/>
  <c r="H192" i="35"/>
  <c r="I192" i="35" s="1"/>
  <c r="F192" i="35"/>
  <c r="E192" i="35"/>
  <c r="N191" i="35"/>
  <c r="O191" i="35" s="1"/>
  <c r="L191" i="35"/>
  <c r="K191" i="35"/>
  <c r="H191" i="35"/>
  <c r="I191" i="35" s="1"/>
  <c r="F191" i="35"/>
  <c r="E191" i="35"/>
  <c r="N190" i="35"/>
  <c r="O190" i="35" s="1"/>
  <c r="L190" i="35"/>
  <c r="K190" i="35"/>
  <c r="H190" i="35"/>
  <c r="I190" i="35" s="1"/>
  <c r="F190" i="35"/>
  <c r="E190" i="35"/>
  <c r="N189" i="35"/>
  <c r="O189" i="35" s="1"/>
  <c r="K189" i="35"/>
  <c r="L189" i="35" s="1"/>
  <c r="H189" i="35"/>
  <c r="I189" i="35" s="1"/>
  <c r="F189" i="35"/>
  <c r="E189" i="35"/>
  <c r="N188" i="35"/>
  <c r="O188" i="35" s="1"/>
  <c r="K188" i="35"/>
  <c r="L188" i="35" s="1"/>
  <c r="H188" i="35"/>
  <c r="I188" i="35" s="1"/>
  <c r="F188" i="35"/>
  <c r="E188" i="35"/>
  <c r="N187" i="35"/>
  <c r="O187" i="35" s="1"/>
  <c r="K187" i="35"/>
  <c r="L187" i="35" s="1"/>
  <c r="H187" i="35"/>
  <c r="I187" i="35" s="1"/>
  <c r="F187" i="35"/>
  <c r="E187" i="35"/>
  <c r="N186" i="35"/>
  <c r="O186" i="35" s="1"/>
  <c r="L186" i="35"/>
  <c r="K186" i="35"/>
  <c r="H186" i="35"/>
  <c r="I186" i="35" s="1"/>
  <c r="F186" i="35"/>
  <c r="E186" i="35"/>
  <c r="N185" i="35"/>
  <c r="O185" i="35" s="1"/>
  <c r="K185" i="35"/>
  <c r="L185" i="35" s="1"/>
  <c r="H185" i="35"/>
  <c r="I185" i="35" s="1"/>
  <c r="F185" i="35"/>
  <c r="E185" i="35"/>
  <c r="O184" i="35"/>
  <c r="N184" i="35"/>
  <c r="K184" i="35"/>
  <c r="L184" i="35" s="1"/>
  <c r="H184" i="35"/>
  <c r="I184" i="35" s="1"/>
  <c r="F184" i="35"/>
  <c r="E184" i="35"/>
  <c r="N183" i="35"/>
  <c r="O183" i="35" s="1"/>
  <c r="K183" i="35"/>
  <c r="L183" i="35" s="1"/>
  <c r="H183" i="35"/>
  <c r="I183" i="35" s="1"/>
  <c r="F183" i="35"/>
  <c r="E183" i="35"/>
  <c r="O182" i="35"/>
  <c r="N182" i="35"/>
  <c r="L182" i="35"/>
  <c r="K182" i="35"/>
  <c r="H182" i="35"/>
  <c r="I182" i="35" s="1"/>
  <c r="F182" i="35"/>
  <c r="E182" i="35"/>
  <c r="N181" i="35"/>
  <c r="O181" i="35" s="1"/>
  <c r="K181" i="35"/>
  <c r="L181" i="35" s="1"/>
  <c r="H181" i="35"/>
  <c r="I181" i="35" s="1"/>
  <c r="F181" i="35"/>
  <c r="E181" i="35"/>
  <c r="N180" i="35"/>
  <c r="O180" i="35" s="1"/>
  <c r="K180" i="35"/>
  <c r="L180" i="35" s="1"/>
  <c r="H180" i="35"/>
  <c r="I180" i="35" s="1"/>
  <c r="F180" i="35"/>
  <c r="E180" i="35"/>
  <c r="N179" i="35"/>
  <c r="N199" i="35" s="1"/>
  <c r="K179" i="35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N171" i="35"/>
  <c r="O171" i="35" s="1"/>
  <c r="L171" i="35"/>
  <c r="K171" i="35"/>
  <c r="H171" i="35"/>
  <c r="I171" i="35" s="1"/>
  <c r="F171" i="35"/>
  <c r="E171" i="35"/>
  <c r="O170" i="35"/>
  <c r="N170" i="35"/>
  <c r="K170" i="35"/>
  <c r="L170" i="35" s="1"/>
  <c r="H170" i="35"/>
  <c r="I170" i="35" s="1"/>
  <c r="F170" i="35"/>
  <c r="E170" i="35"/>
  <c r="N169" i="35"/>
  <c r="O169" i="35" s="1"/>
  <c r="K169" i="35"/>
  <c r="L169" i="35" s="1"/>
  <c r="H169" i="35"/>
  <c r="I169" i="35" s="1"/>
  <c r="F169" i="35"/>
  <c r="E169" i="35"/>
  <c r="O168" i="35"/>
  <c r="N168" i="35"/>
  <c r="K168" i="35"/>
  <c r="L168" i="35" s="1"/>
  <c r="H168" i="35"/>
  <c r="I168" i="35" s="1"/>
  <c r="F168" i="35"/>
  <c r="E168" i="35"/>
  <c r="N167" i="35"/>
  <c r="O167" i="35" s="1"/>
  <c r="L167" i="35"/>
  <c r="K167" i="35"/>
  <c r="H167" i="35"/>
  <c r="I167" i="35" s="1"/>
  <c r="F167" i="35"/>
  <c r="E167" i="35"/>
  <c r="N166" i="35"/>
  <c r="O166" i="35" s="1"/>
  <c r="K166" i="35"/>
  <c r="L166" i="35" s="1"/>
  <c r="H166" i="35"/>
  <c r="I166" i="35" s="1"/>
  <c r="F166" i="35"/>
  <c r="E166" i="35"/>
  <c r="N165" i="35"/>
  <c r="O165" i="35" s="1"/>
  <c r="K165" i="35"/>
  <c r="L165" i="35" s="1"/>
  <c r="H165" i="35"/>
  <c r="I165" i="35" s="1"/>
  <c r="F165" i="35"/>
  <c r="E165" i="35"/>
  <c r="N164" i="35"/>
  <c r="O164" i="35" s="1"/>
  <c r="K164" i="35"/>
  <c r="L164" i="35" s="1"/>
  <c r="H164" i="35"/>
  <c r="I164" i="35" s="1"/>
  <c r="F164" i="35"/>
  <c r="E164" i="35"/>
  <c r="N163" i="35"/>
  <c r="O163" i="35" s="1"/>
  <c r="L163" i="35"/>
  <c r="K163" i="35"/>
  <c r="H163" i="35"/>
  <c r="I163" i="35" s="1"/>
  <c r="F163" i="35"/>
  <c r="E163" i="35"/>
  <c r="N162" i="35"/>
  <c r="O162" i="35" s="1"/>
  <c r="K162" i="35"/>
  <c r="L162" i="35" s="1"/>
  <c r="H162" i="35"/>
  <c r="I162" i="35" s="1"/>
  <c r="F162" i="35"/>
  <c r="E162" i="35"/>
  <c r="O161" i="35"/>
  <c r="N161" i="35"/>
  <c r="K161" i="35"/>
  <c r="L161" i="35" s="1"/>
  <c r="H161" i="35"/>
  <c r="I161" i="35" s="1"/>
  <c r="F161" i="35"/>
  <c r="E161" i="35"/>
  <c r="N160" i="35"/>
  <c r="O160" i="35" s="1"/>
  <c r="K160" i="35"/>
  <c r="L160" i="35" s="1"/>
  <c r="H160" i="35"/>
  <c r="I160" i="35" s="1"/>
  <c r="F160" i="35"/>
  <c r="E160" i="35"/>
  <c r="O159" i="35"/>
  <c r="N159" i="35"/>
  <c r="L159" i="35"/>
  <c r="K159" i="35"/>
  <c r="H159" i="35"/>
  <c r="I159" i="35" s="1"/>
  <c r="F159" i="35"/>
  <c r="E159" i="35"/>
  <c r="N158" i="35"/>
  <c r="O158" i="35" s="1"/>
  <c r="K158" i="35"/>
  <c r="L158" i="35" s="1"/>
  <c r="H158" i="35"/>
  <c r="I158" i="35" s="1"/>
  <c r="F158" i="35"/>
  <c r="E158" i="35"/>
  <c r="N157" i="35"/>
  <c r="O157" i="35" s="1"/>
  <c r="K157" i="35"/>
  <c r="L157" i="35" s="1"/>
  <c r="H157" i="35"/>
  <c r="I157" i="35" s="1"/>
  <c r="F157" i="35"/>
  <c r="E157" i="35"/>
  <c r="N156" i="35"/>
  <c r="O156" i="35" s="1"/>
  <c r="L156" i="35"/>
  <c r="K156" i="35"/>
  <c r="H156" i="35"/>
  <c r="I156" i="35" s="1"/>
  <c r="F156" i="35"/>
  <c r="E156" i="35"/>
  <c r="N155" i="35"/>
  <c r="O155" i="35" s="1"/>
  <c r="L155" i="35"/>
  <c r="K155" i="35"/>
  <c r="H155" i="35"/>
  <c r="I155" i="35" s="1"/>
  <c r="F155" i="35"/>
  <c r="E155" i="35"/>
  <c r="N154" i="35"/>
  <c r="O154" i="35" s="1"/>
  <c r="K154" i="35"/>
  <c r="L154" i="35" s="1"/>
  <c r="H154" i="35"/>
  <c r="I154" i="35" s="1"/>
  <c r="F154" i="35"/>
  <c r="E154" i="35"/>
  <c r="N153" i="35"/>
  <c r="O153" i="35" s="1"/>
  <c r="K153" i="35"/>
  <c r="L153" i="35" s="1"/>
  <c r="H153" i="35"/>
  <c r="I153" i="35" s="1"/>
  <c r="F153" i="35"/>
  <c r="E153" i="35"/>
  <c r="N152" i="35"/>
  <c r="L152" i="35"/>
  <c r="K152" i="35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H143" i="35"/>
  <c r="I143" i="35" s="1"/>
  <c r="E143" i="35"/>
  <c r="F143" i="35" s="1"/>
  <c r="N142" i="35"/>
  <c r="O142" i="35" s="1"/>
  <c r="K142" i="35"/>
  <c r="L142" i="35" s="1"/>
  <c r="H142" i="35"/>
  <c r="I142" i="35" s="1"/>
  <c r="E142" i="35"/>
  <c r="F142" i="35" s="1"/>
  <c r="N141" i="35"/>
  <c r="O141" i="35" s="1"/>
  <c r="L141" i="35"/>
  <c r="K141" i="35"/>
  <c r="I141" i="35"/>
  <c r="H141" i="35"/>
  <c r="E141" i="35"/>
  <c r="F141" i="35" s="1"/>
  <c r="N140" i="35"/>
  <c r="O140" i="35" s="1"/>
  <c r="K140" i="35"/>
  <c r="L140" i="35" s="1"/>
  <c r="H140" i="35"/>
  <c r="I140" i="35" s="1"/>
  <c r="E140" i="35"/>
  <c r="F140" i="35" s="1"/>
  <c r="N139" i="35"/>
  <c r="O139" i="35" s="1"/>
  <c r="L139" i="35"/>
  <c r="K139" i="35"/>
  <c r="I139" i="35"/>
  <c r="H139" i="35"/>
  <c r="E139" i="35"/>
  <c r="F139" i="35" s="1"/>
  <c r="N138" i="35"/>
  <c r="O138" i="35" s="1"/>
  <c r="L138" i="35"/>
  <c r="K138" i="35"/>
  <c r="H138" i="35"/>
  <c r="I138" i="35" s="1"/>
  <c r="E138" i="35"/>
  <c r="F138" i="35" s="1"/>
  <c r="O137" i="35"/>
  <c r="N137" i="35"/>
  <c r="L137" i="35"/>
  <c r="K137" i="35"/>
  <c r="I137" i="35"/>
  <c r="H137" i="35"/>
  <c r="E137" i="35"/>
  <c r="F137" i="35" s="1"/>
  <c r="N136" i="35"/>
  <c r="O136" i="35" s="1"/>
  <c r="L136" i="35"/>
  <c r="K136" i="35"/>
  <c r="H136" i="35"/>
  <c r="I136" i="35" s="1"/>
  <c r="E136" i="35"/>
  <c r="F136" i="35" s="1"/>
  <c r="O135" i="35"/>
  <c r="N135" i="35"/>
  <c r="K135" i="35"/>
  <c r="L135" i="35" s="1"/>
  <c r="I135" i="35"/>
  <c r="H135" i="35"/>
  <c r="E135" i="35"/>
  <c r="F135" i="35" s="1"/>
  <c r="N134" i="35"/>
  <c r="O134" i="35" s="1"/>
  <c r="L134" i="35"/>
  <c r="K134" i="35"/>
  <c r="H134" i="35"/>
  <c r="I134" i="35" s="1"/>
  <c r="E134" i="35"/>
  <c r="F134" i="35" s="1"/>
  <c r="O133" i="35"/>
  <c r="N133" i="35"/>
  <c r="L133" i="35"/>
  <c r="K133" i="35"/>
  <c r="I133" i="35"/>
  <c r="H133" i="35"/>
  <c r="E133" i="35"/>
  <c r="F133" i="35" s="1"/>
  <c r="O132" i="35"/>
  <c r="N132" i="35"/>
  <c r="K132" i="35"/>
  <c r="L132" i="35" s="1"/>
  <c r="H132" i="35"/>
  <c r="I132" i="35" s="1"/>
  <c r="E132" i="35"/>
  <c r="F132" i="35" s="1"/>
  <c r="O131" i="35"/>
  <c r="N131" i="35"/>
  <c r="L131" i="35"/>
  <c r="K131" i="35"/>
  <c r="I131" i="35"/>
  <c r="H131" i="35"/>
  <c r="E131" i="35"/>
  <c r="F131" i="35" s="1"/>
  <c r="O130" i="35"/>
  <c r="N130" i="35"/>
  <c r="L130" i="35"/>
  <c r="K130" i="35"/>
  <c r="H130" i="35"/>
  <c r="I130" i="35" s="1"/>
  <c r="E130" i="35"/>
  <c r="F130" i="35" s="1"/>
  <c r="N129" i="35"/>
  <c r="O129" i="35" s="1"/>
  <c r="L129" i="35"/>
  <c r="K129" i="35"/>
  <c r="I129" i="35"/>
  <c r="H129" i="35"/>
  <c r="E129" i="35"/>
  <c r="F129" i="35" s="1"/>
  <c r="O128" i="35"/>
  <c r="N128" i="35"/>
  <c r="L128" i="35"/>
  <c r="K128" i="35"/>
  <c r="H128" i="35"/>
  <c r="I128" i="35" s="1"/>
  <c r="E128" i="35"/>
  <c r="F128" i="35" s="1"/>
  <c r="N127" i="35"/>
  <c r="O127" i="35" s="1"/>
  <c r="K127" i="35"/>
  <c r="L127" i="35" s="1"/>
  <c r="H127" i="35"/>
  <c r="I127" i="35" s="1"/>
  <c r="E127" i="35"/>
  <c r="F127" i="35" s="1"/>
  <c r="O126" i="35"/>
  <c r="N126" i="35"/>
  <c r="L126" i="35"/>
  <c r="K126" i="35"/>
  <c r="H126" i="35"/>
  <c r="I126" i="35" s="1"/>
  <c r="E126" i="35"/>
  <c r="F126" i="35" s="1"/>
  <c r="N125" i="35"/>
  <c r="K125" i="35"/>
  <c r="K145" i="35" s="1"/>
  <c r="I125" i="35"/>
  <c r="H125" i="35"/>
  <c r="E125" i="35"/>
  <c r="E145" i="35" s="1"/>
  <c r="M123" i="35"/>
  <c r="J123" i="35"/>
  <c r="G123" i="35"/>
  <c r="D123" i="35"/>
  <c r="B123" i="35"/>
  <c r="M122" i="35"/>
  <c r="G122" i="35"/>
  <c r="B118" i="35"/>
  <c r="O117" i="35"/>
  <c r="N117" i="35"/>
  <c r="K117" i="35"/>
  <c r="L117" i="35" s="1"/>
  <c r="H117" i="35"/>
  <c r="I117" i="35" s="1"/>
  <c r="E117" i="35"/>
  <c r="F117" i="35" s="1"/>
  <c r="N116" i="35"/>
  <c r="O116" i="35" s="1"/>
  <c r="L116" i="35"/>
  <c r="K116" i="35"/>
  <c r="H116" i="35"/>
  <c r="I116" i="35" s="1"/>
  <c r="F116" i="35"/>
  <c r="E116" i="35"/>
  <c r="O115" i="35"/>
  <c r="N115" i="35"/>
  <c r="K115" i="35"/>
  <c r="L115" i="35" s="1"/>
  <c r="H115" i="35"/>
  <c r="I115" i="35" s="1"/>
  <c r="F115" i="35"/>
  <c r="E115" i="35"/>
  <c r="O114" i="35"/>
  <c r="N114" i="35"/>
  <c r="K114" i="35"/>
  <c r="L114" i="35" s="1"/>
  <c r="L33" i="35" s="1"/>
  <c r="H114" i="35"/>
  <c r="I114" i="35" s="1"/>
  <c r="I33" i="35" s="1"/>
  <c r="F114" i="35"/>
  <c r="E114" i="35"/>
  <c r="O113" i="35"/>
  <c r="O32" i="35" s="1"/>
  <c r="N113" i="35"/>
  <c r="K113" i="35"/>
  <c r="L113" i="35" s="1"/>
  <c r="L32" i="35" s="1"/>
  <c r="H113" i="35"/>
  <c r="I113" i="35" s="1"/>
  <c r="I32" i="35" s="1"/>
  <c r="F113" i="35"/>
  <c r="E113" i="35"/>
  <c r="O112" i="35"/>
  <c r="N112" i="35"/>
  <c r="L112" i="35"/>
  <c r="K112" i="35"/>
  <c r="H112" i="35"/>
  <c r="I112" i="35" s="1"/>
  <c r="F112" i="35"/>
  <c r="E112" i="35"/>
  <c r="N111" i="35"/>
  <c r="O111" i="35" s="1"/>
  <c r="K111" i="35"/>
  <c r="L111" i="35" s="1"/>
  <c r="H111" i="35"/>
  <c r="I111" i="35" s="1"/>
  <c r="F111" i="35"/>
  <c r="E111" i="35"/>
  <c r="N110" i="35"/>
  <c r="O110" i="35" s="1"/>
  <c r="K110" i="35"/>
  <c r="L110" i="35" s="1"/>
  <c r="H110" i="35"/>
  <c r="I110" i="35" s="1"/>
  <c r="F110" i="35"/>
  <c r="E110" i="35"/>
  <c r="N109" i="35"/>
  <c r="O109" i="35" s="1"/>
  <c r="K109" i="35"/>
  <c r="L109" i="35" s="1"/>
  <c r="H109" i="35"/>
  <c r="I109" i="35" s="1"/>
  <c r="F109" i="35"/>
  <c r="E109" i="35"/>
  <c r="N108" i="35"/>
  <c r="O108" i="35" s="1"/>
  <c r="L108" i="35"/>
  <c r="K108" i="35"/>
  <c r="H108" i="35"/>
  <c r="I108" i="35" s="1"/>
  <c r="F108" i="35"/>
  <c r="E108" i="35"/>
  <c r="O107" i="35"/>
  <c r="N107" i="35"/>
  <c r="K107" i="35"/>
  <c r="L107" i="35" s="1"/>
  <c r="H107" i="35"/>
  <c r="I107" i="35" s="1"/>
  <c r="F107" i="35"/>
  <c r="E107" i="35"/>
  <c r="O106" i="35"/>
  <c r="N106" i="35"/>
  <c r="K106" i="35"/>
  <c r="L106" i="35" s="1"/>
  <c r="L25" i="35" s="1"/>
  <c r="H106" i="35"/>
  <c r="I106" i="35" s="1"/>
  <c r="I25" i="35" s="1"/>
  <c r="E106" i="35"/>
  <c r="F106" i="35" s="1"/>
  <c r="F25" i="35" s="1"/>
  <c r="N105" i="35"/>
  <c r="O105" i="35" s="1"/>
  <c r="L105" i="35"/>
  <c r="K105" i="35"/>
  <c r="H105" i="35"/>
  <c r="I105" i="35" s="1"/>
  <c r="F105" i="35"/>
  <c r="E105" i="35"/>
  <c r="O104" i="35"/>
  <c r="N104" i="35"/>
  <c r="K104" i="35"/>
  <c r="L104" i="35" s="1"/>
  <c r="H104" i="35"/>
  <c r="I104" i="35" s="1"/>
  <c r="F104" i="35"/>
  <c r="E104" i="35"/>
  <c r="O103" i="35"/>
  <c r="N103" i="35"/>
  <c r="K103" i="35"/>
  <c r="L103" i="35" s="1"/>
  <c r="H103" i="35"/>
  <c r="I103" i="35" s="1"/>
  <c r="E103" i="35"/>
  <c r="F103" i="35" s="1"/>
  <c r="N102" i="35"/>
  <c r="O102" i="35" s="1"/>
  <c r="O21" i="35" s="1"/>
  <c r="L102" i="35"/>
  <c r="L21" i="35" s="1"/>
  <c r="K102" i="35"/>
  <c r="I102" i="35"/>
  <c r="H102" i="35"/>
  <c r="E102" i="35"/>
  <c r="F102" i="35" s="1"/>
  <c r="F21" i="35" s="1"/>
  <c r="O101" i="35"/>
  <c r="N101" i="35"/>
  <c r="K101" i="35"/>
  <c r="L101" i="35" s="1"/>
  <c r="H101" i="35"/>
  <c r="I101" i="35" s="1"/>
  <c r="E101" i="35"/>
  <c r="F101" i="35" s="1"/>
  <c r="N100" i="35"/>
  <c r="O100" i="35" s="1"/>
  <c r="K100" i="35"/>
  <c r="L100" i="35" s="1"/>
  <c r="I100" i="35"/>
  <c r="H100" i="35"/>
  <c r="E100" i="35"/>
  <c r="F100" i="35" s="1"/>
  <c r="O99" i="35"/>
  <c r="N99" i="35"/>
  <c r="L99" i="35"/>
  <c r="L18" i="35" s="1"/>
  <c r="K99" i="35"/>
  <c r="H99" i="35"/>
  <c r="I99" i="35" s="1"/>
  <c r="I18" i="35" s="1"/>
  <c r="E99" i="35"/>
  <c r="F99" i="35" s="1"/>
  <c r="F18" i="35" s="1"/>
  <c r="N98" i="35"/>
  <c r="N118" i="35" s="1"/>
  <c r="K98" i="35"/>
  <c r="I98" i="35"/>
  <c r="H98" i="35"/>
  <c r="E98" i="35"/>
  <c r="E118" i="35" s="1"/>
  <c r="M96" i="35"/>
  <c r="J96" i="35"/>
  <c r="G96" i="35"/>
  <c r="D96" i="35"/>
  <c r="B96" i="35"/>
  <c r="M95" i="35"/>
  <c r="G95" i="35"/>
  <c r="B91" i="35"/>
  <c r="N90" i="35"/>
  <c r="O90" i="35" s="1"/>
  <c r="K90" i="35"/>
  <c r="L90" i="35" s="1"/>
  <c r="I90" i="35"/>
  <c r="H90" i="35"/>
  <c r="E90" i="35"/>
  <c r="F90" i="35" s="1"/>
  <c r="O89" i="35"/>
  <c r="N89" i="35"/>
  <c r="K89" i="35"/>
  <c r="L89" i="35" s="1"/>
  <c r="H89" i="35"/>
  <c r="I89" i="35" s="1"/>
  <c r="E89" i="35"/>
  <c r="F89" i="35" s="1"/>
  <c r="O88" i="35"/>
  <c r="N88" i="35"/>
  <c r="K88" i="35"/>
  <c r="L88" i="35" s="1"/>
  <c r="H88" i="35"/>
  <c r="I88" i="35" s="1"/>
  <c r="E88" i="35"/>
  <c r="F88" i="35" s="1"/>
  <c r="N87" i="35"/>
  <c r="O87" i="35" s="1"/>
  <c r="K87" i="35"/>
  <c r="L87" i="35" s="1"/>
  <c r="H87" i="35"/>
  <c r="I87" i="35" s="1"/>
  <c r="E87" i="35"/>
  <c r="F87" i="35" s="1"/>
  <c r="N86" i="35"/>
  <c r="O86" i="35" s="1"/>
  <c r="K86" i="35"/>
  <c r="L86" i="35" s="1"/>
  <c r="I86" i="35"/>
  <c r="H86" i="35"/>
  <c r="E86" i="35"/>
  <c r="F86" i="35" s="1"/>
  <c r="O85" i="35"/>
  <c r="N85" i="35"/>
  <c r="K85" i="35"/>
  <c r="L85" i="35" s="1"/>
  <c r="H85" i="35"/>
  <c r="I85" i="35" s="1"/>
  <c r="E85" i="35"/>
  <c r="F85" i="35" s="1"/>
  <c r="N84" i="35"/>
  <c r="O84" i="35" s="1"/>
  <c r="L84" i="35"/>
  <c r="K84" i="35"/>
  <c r="H84" i="35"/>
  <c r="I84" i="35" s="1"/>
  <c r="E84" i="35"/>
  <c r="F84" i="35" s="1"/>
  <c r="O83" i="35"/>
  <c r="N83" i="35"/>
  <c r="K83" i="35"/>
  <c r="L83" i="35" s="1"/>
  <c r="H83" i="35"/>
  <c r="I83" i="35" s="1"/>
  <c r="E83" i="35"/>
  <c r="F83" i="35" s="1"/>
  <c r="O82" i="35"/>
  <c r="N82" i="35"/>
  <c r="L82" i="35"/>
  <c r="K82" i="35"/>
  <c r="I82" i="35"/>
  <c r="H82" i="35"/>
  <c r="E82" i="35"/>
  <c r="F82" i="35" s="1"/>
  <c r="O81" i="35"/>
  <c r="N81" i="35"/>
  <c r="K81" i="35"/>
  <c r="L81" i="35" s="1"/>
  <c r="H81" i="35"/>
  <c r="I81" i="35" s="1"/>
  <c r="E81" i="35"/>
  <c r="F81" i="35" s="1"/>
  <c r="O80" i="35"/>
  <c r="N80" i="35"/>
  <c r="K80" i="35"/>
  <c r="L80" i="35" s="1"/>
  <c r="H80" i="35"/>
  <c r="I80" i="35" s="1"/>
  <c r="E80" i="35"/>
  <c r="F80" i="35" s="1"/>
  <c r="N79" i="35"/>
  <c r="O79" i="35" s="1"/>
  <c r="K79" i="35"/>
  <c r="L79" i="35" s="1"/>
  <c r="H79" i="35"/>
  <c r="I79" i="35" s="1"/>
  <c r="E79" i="35"/>
  <c r="F79" i="35" s="1"/>
  <c r="N78" i="35"/>
  <c r="O78" i="35" s="1"/>
  <c r="K78" i="35"/>
  <c r="L78" i="35" s="1"/>
  <c r="I78" i="35"/>
  <c r="H78" i="35"/>
  <c r="E78" i="35"/>
  <c r="F78" i="35" s="1"/>
  <c r="O77" i="35"/>
  <c r="N77" i="35"/>
  <c r="L77" i="35"/>
  <c r="K77" i="35"/>
  <c r="H77" i="35"/>
  <c r="I77" i="35" s="1"/>
  <c r="E77" i="35"/>
  <c r="F77" i="35" s="1"/>
  <c r="N76" i="35"/>
  <c r="O76" i="35" s="1"/>
  <c r="K76" i="35"/>
  <c r="L76" i="35" s="1"/>
  <c r="H76" i="35"/>
  <c r="I76" i="35" s="1"/>
  <c r="E76" i="35"/>
  <c r="F76" i="35" s="1"/>
  <c r="O75" i="35"/>
  <c r="N75" i="35"/>
  <c r="L75" i="35"/>
  <c r="L34" i="35" s="1"/>
  <c r="K75" i="35"/>
  <c r="H75" i="35"/>
  <c r="I75" i="35" s="1"/>
  <c r="I34" i="35" s="1"/>
  <c r="E75" i="35"/>
  <c r="E34" i="35" s="1"/>
  <c r="N74" i="35"/>
  <c r="O74" i="35" s="1"/>
  <c r="O31" i="35" s="1"/>
  <c r="K74" i="35"/>
  <c r="L74" i="35" s="1"/>
  <c r="L31" i="35" s="1"/>
  <c r="I74" i="35"/>
  <c r="I31" i="35" s="1"/>
  <c r="H74" i="35"/>
  <c r="E74" i="35"/>
  <c r="F74" i="35" s="1"/>
  <c r="F31" i="35" s="1"/>
  <c r="O73" i="35"/>
  <c r="N73" i="35"/>
  <c r="K73" i="35"/>
  <c r="L73" i="35" s="1"/>
  <c r="L30" i="35" s="1"/>
  <c r="H73" i="35"/>
  <c r="I73" i="35" s="1"/>
  <c r="I30" i="35" s="1"/>
  <c r="E73" i="35"/>
  <c r="F73" i="35" s="1"/>
  <c r="F30" i="35" s="1"/>
  <c r="O72" i="35"/>
  <c r="N72" i="35"/>
  <c r="K72" i="35"/>
  <c r="L72" i="35" s="1"/>
  <c r="L28" i="35" s="1"/>
  <c r="I72" i="35"/>
  <c r="H72" i="35"/>
  <c r="E72" i="35"/>
  <c r="F72" i="35" s="1"/>
  <c r="F28" i="35" s="1"/>
  <c r="N71" i="35"/>
  <c r="N91" i="35" s="1"/>
  <c r="K71" i="35"/>
  <c r="H71" i="35"/>
  <c r="E71" i="35"/>
  <c r="E91" i="35" s="1"/>
  <c r="M69" i="35"/>
  <c r="J69" i="35"/>
  <c r="G69" i="35"/>
  <c r="D69" i="35"/>
  <c r="B69" i="35"/>
  <c r="M68" i="35"/>
  <c r="G68" i="35"/>
  <c r="B64" i="35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E62" i="35"/>
  <c r="F62" i="35" s="1"/>
  <c r="N61" i="35"/>
  <c r="O61" i="35" s="1"/>
  <c r="K61" i="35"/>
  <c r="L61" i="35" s="1"/>
  <c r="H61" i="35"/>
  <c r="I61" i="35" s="1"/>
  <c r="F61" i="35"/>
  <c r="E61" i="35"/>
  <c r="O60" i="35"/>
  <c r="N60" i="35"/>
  <c r="K60" i="35"/>
  <c r="L60" i="35" s="1"/>
  <c r="H60" i="35"/>
  <c r="I60" i="35" s="1"/>
  <c r="F60" i="35"/>
  <c r="E60" i="35"/>
  <c r="N59" i="35"/>
  <c r="O59" i="35" s="1"/>
  <c r="L59" i="35"/>
  <c r="K59" i="35"/>
  <c r="H59" i="35"/>
  <c r="I59" i="35" s="1"/>
  <c r="F59" i="35"/>
  <c r="E59" i="35"/>
  <c r="N58" i="35"/>
  <c r="O58" i="35" s="1"/>
  <c r="L58" i="35"/>
  <c r="K58" i="35"/>
  <c r="H58" i="35"/>
  <c r="I58" i="35" s="1"/>
  <c r="F58" i="35"/>
  <c r="E58" i="35"/>
  <c r="O57" i="35"/>
  <c r="N57" i="35"/>
  <c r="K57" i="35"/>
  <c r="L57" i="35" s="1"/>
  <c r="H57" i="35"/>
  <c r="I57" i="35" s="1"/>
  <c r="F57" i="35"/>
  <c r="E57" i="35"/>
  <c r="N56" i="35"/>
  <c r="O56" i="35" s="1"/>
  <c r="K56" i="35"/>
  <c r="L56" i="35" s="1"/>
  <c r="H56" i="35"/>
  <c r="I56" i="35" s="1"/>
  <c r="F56" i="35"/>
  <c r="E56" i="35"/>
  <c r="O55" i="35"/>
  <c r="N55" i="35"/>
  <c r="L55" i="35"/>
  <c r="K55" i="35"/>
  <c r="H55" i="35"/>
  <c r="I55" i="35" s="1"/>
  <c r="F55" i="35"/>
  <c r="E55" i="35"/>
  <c r="O54" i="35"/>
  <c r="N54" i="35"/>
  <c r="L54" i="35"/>
  <c r="K54" i="35"/>
  <c r="H54" i="35"/>
  <c r="I54" i="35" s="1"/>
  <c r="F54" i="35"/>
  <c r="E54" i="35"/>
  <c r="N53" i="35"/>
  <c r="O53" i="35" s="1"/>
  <c r="O36" i="35" s="1"/>
  <c r="K53" i="35"/>
  <c r="K36" i="35" s="1"/>
  <c r="H53" i="35"/>
  <c r="H36" i="35" s="1"/>
  <c r="F53" i="35"/>
  <c r="E53" i="35"/>
  <c r="O52" i="35"/>
  <c r="N52" i="35"/>
  <c r="K52" i="35"/>
  <c r="L52" i="35" s="1"/>
  <c r="L35" i="35" s="1"/>
  <c r="H52" i="35"/>
  <c r="I52" i="35" s="1"/>
  <c r="I35" i="35" s="1"/>
  <c r="F52" i="35"/>
  <c r="E52" i="35"/>
  <c r="N51" i="35"/>
  <c r="N29" i="35" s="1"/>
  <c r="L51" i="35"/>
  <c r="K51" i="35"/>
  <c r="H51" i="35"/>
  <c r="I51" i="35" s="1"/>
  <c r="I29" i="35" s="1"/>
  <c r="F51" i="35"/>
  <c r="E51" i="35"/>
  <c r="N50" i="35"/>
  <c r="O50" i="35" s="1"/>
  <c r="O27" i="35" s="1"/>
  <c r="L50" i="35"/>
  <c r="L27" i="35" s="1"/>
  <c r="K50" i="35"/>
  <c r="H50" i="35"/>
  <c r="H27" i="35" s="1"/>
  <c r="F50" i="35"/>
  <c r="E50" i="35"/>
  <c r="N49" i="35"/>
  <c r="O49" i="35" s="1"/>
  <c r="O26" i="35" s="1"/>
  <c r="K49" i="35"/>
  <c r="L49" i="35" s="1"/>
  <c r="L26" i="35" s="1"/>
  <c r="H49" i="35"/>
  <c r="I49" i="35" s="1"/>
  <c r="I26" i="35" s="1"/>
  <c r="F49" i="35"/>
  <c r="E49" i="35"/>
  <c r="N48" i="35"/>
  <c r="N23" i="35" s="1"/>
  <c r="K48" i="35"/>
  <c r="L48" i="35" s="1"/>
  <c r="L23" i="35" s="1"/>
  <c r="H48" i="35"/>
  <c r="I48" i="35" s="1"/>
  <c r="I23" i="35" s="1"/>
  <c r="F48" i="35"/>
  <c r="E48" i="35"/>
  <c r="N47" i="35"/>
  <c r="O47" i="35" s="1"/>
  <c r="O22" i="35" s="1"/>
  <c r="L47" i="35"/>
  <c r="K47" i="35"/>
  <c r="H47" i="35"/>
  <c r="I47" i="35" s="1"/>
  <c r="I22" i="35" s="1"/>
  <c r="F47" i="35"/>
  <c r="E47" i="35"/>
  <c r="O46" i="35"/>
  <c r="N46" i="35"/>
  <c r="L46" i="35"/>
  <c r="L20" i="35" s="1"/>
  <c r="K46" i="35"/>
  <c r="H46" i="35"/>
  <c r="I46" i="35" s="1"/>
  <c r="I20" i="35" s="1"/>
  <c r="F46" i="35"/>
  <c r="E46" i="35"/>
  <c r="N45" i="35"/>
  <c r="O45" i="35" s="1"/>
  <c r="O19" i="35" s="1"/>
  <c r="K45" i="35"/>
  <c r="K19" i="35" s="1"/>
  <c r="H45" i="35"/>
  <c r="I45" i="35" s="1"/>
  <c r="I19" i="35" s="1"/>
  <c r="F45" i="35"/>
  <c r="E45" i="35"/>
  <c r="N44" i="35"/>
  <c r="L44" i="35"/>
  <c r="K44" i="35"/>
  <c r="H44" i="35"/>
  <c r="H64" i="35" s="1"/>
  <c r="F44" i="35"/>
  <c r="E44" i="35"/>
  <c r="E64" i="35" s="1"/>
  <c r="M42" i="35"/>
  <c r="J42" i="35"/>
  <c r="G42" i="35"/>
  <c r="D42" i="35"/>
  <c r="B42" i="35"/>
  <c r="M41" i="35"/>
  <c r="G41" i="35"/>
  <c r="N36" i="35"/>
  <c r="M36" i="35"/>
  <c r="J36" i="35"/>
  <c r="G36" i="35"/>
  <c r="F36" i="35"/>
  <c r="E36" i="35"/>
  <c r="D36" i="35"/>
  <c r="C36" i="35"/>
  <c r="B36" i="35"/>
  <c r="O35" i="35"/>
  <c r="N35" i="35"/>
  <c r="M35" i="35"/>
  <c r="K35" i="35"/>
  <c r="J35" i="35"/>
  <c r="G35" i="35"/>
  <c r="F35" i="35"/>
  <c r="E35" i="35"/>
  <c r="D35" i="35"/>
  <c r="C35" i="35"/>
  <c r="B35" i="35"/>
  <c r="O34" i="35"/>
  <c r="N34" i="35"/>
  <c r="M34" i="35"/>
  <c r="K34" i="35"/>
  <c r="J34" i="35"/>
  <c r="H34" i="35"/>
  <c r="G34" i="35"/>
  <c r="D34" i="35"/>
  <c r="C34" i="35"/>
  <c r="B34" i="35"/>
  <c r="O33" i="35"/>
  <c r="N33" i="35"/>
  <c r="M33" i="35"/>
  <c r="K33" i="35"/>
  <c r="J33" i="35"/>
  <c r="H33" i="35"/>
  <c r="G33" i="35"/>
  <c r="F33" i="35"/>
  <c r="E33" i="35"/>
  <c r="D33" i="35"/>
  <c r="C33" i="35"/>
  <c r="B33" i="35"/>
  <c r="N32" i="35"/>
  <c r="M32" i="35"/>
  <c r="K32" i="35"/>
  <c r="J32" i="35"/>
  <c r="H32" i="35"/>
  <c r="G32" i="35"/>
  <c r="F32" i="35"/>
  <c r="E32" i="35"/>
  <c r="D32" i="35"/>
  <c r="C32" i="35"/>
  <c r="B32" i="35"/>
  <c r="N31" i="35"/>
  <c r="M31" i="35"/>
  <c r="K31" i="35"/>
  <c r="J31" i="35"/>
  <c r="H31" i="35"/>
  <c r="G31" i="35"/>
  <c r="E31" i="35"/>
  <c r="D31" i="35"/>
  <c r="C31" i="35"/>
  <c r="B31" i="35"/>
  <c r="O30" i="35"/>
  <c r="N30" i="35"/>
  <c r="M30" i="35"/>
  <c r="K30" i="35"/>
  <c r="J30" i="35"/>
  <c r="H30" i="35"/>
  <c r="G30" i="35"/>
  <c r="E30" i="35"/>
  <c r="D30" i="35"/>
  <c r="C30" i="35"/>
  <c r="B30" i="35"/>
  <c r="M29" i="35"/>
  <c r="L29" i="35"/>
  <c r="K29" i="35"/>
  <c r="J29" i="35"/>
  <c r="G29" i="35"/>
  <c r="F29" i="35"/>
  <c r="E29" i="35"/>
  <c r="D29" i="35"/>
  <c r="C29" i="35"/>
  <c r="B29" i="35"/>
  <c r="O28" i="35"/>
  <c r="N28" i="35"/>
  <c r="M28" i="35"/>
  <c r="J28" i="35"/>
  <c r="I28" i="35"/>
  <c r="H28" i="35"/>
  <c r="G28" i="35"/>
  <c r="E28" i="35"/>
  <c r="D28" i="35"/>
  <c r="C28" i="35"/>
  <c r="B28" i="35"/>
  <c r="N27" i="35"/>
  <c r="M27" i="35"/>
  <c r="K27" i="35"/>
  <c r="J27" i="35"/>
  <c r="G27" i="35"/>
  <c r="F27" i="35"/>
  <c r="E27" i="35"/>
  <c r="D27" i="35"/>
  <c r="C27" i="35"/>
  <c r="B27" i="35"/>
  <c r="N26" i="35"/>
  <c r="M26" i="35"/>
  <c r="K26" i="35"/>
  <c r="J26" i="35"/>
  <c r="H26" i="35"/>
  <c r="G26" i="35"/>
  <c r="F26" i="35"/>
  <c r="E26" i="35"/>
  <c r="D26" i="35"/>
  <c r="C26" i="35"/>
  <c r="B26" i="35"/>
  <c r="O25" i="35"/>
  <c r="N25" i="35"/>
  <c r="M25" i="35"/>
  <c r="K25" i="35"/>
  <c r="J25" i="35"/>
  <c r="H25" i="35"/>
  <c r="G25" i="35"/>
  <c r="E25" i="35"/>
  <c r="D25" i="35"/>
  <c r="C25" i="35"/>
  <c r="B25" i="35"/>
  <c r="N24" i="35"/>
  <c r="M24" i="35"/>
  <c r="K24" i="35"/>
  <c r="J24" i="35"/>
  <c r="H24" i="35"/>
  <c r="G24" i="35"/>
  <c r="E24" i="35"/>
  <c r="D24" i="35"/>
  <c r="C24" i="35"/>
  <c r="B24" i="35"/>
  <c r="M23" i="35"/>
  <c r="K23" i="35"/>
  <c r="J23" i="35"/>
  <c r="H23" i="35"/>
  <c r="G23" i="35"/>
  <c r="F23" i="35"/>
  <c r="E23" i="35"/>
  <c r="D23" i="35"/>
  <c r="C23" i="35"/>
  <c r="B23" i="35"/>
  <c r="N22" i="35"/>
  <c r="M22" i="35"/>
  <c r="L22" i="35"/>
  <c r="K22" i="35"/>
  <c r="J22" i="35"/>
  <c r="H22" i="35"/>
  <c r="G22" i="35"/>
  <c r="F22" i="35"/>
  <c r="E22" i="35"/>
  <c r="D22" i="35"/>
  <c r="C22" i="35"/>
  <c r="B22" i="35"/>
  <c r="N21" i="35"/>
  <c r="M21" i="35"/>
  <c r="K21" i="35"/>
  <c r="J21" i="35"/>
  <c r="I21" i="35"/>
  <c r="H21" i="35"/>
  <c r="G21" i="35"/>
  <c r="E21" i="35"/>
  <c r="D21" i="35"/>
  <c r="C21" i="35"/>
  <c r="B21" i="35"/>
  <c r="O20" i="35"/>
  <c r="N20" i="35"/>
  <c r="M20" i="35"/>
  <c r="K20" i="35"/>
  <c r="J20" i="35"/>
  <c r="H20" i="35"/>
  <c r="G20" i="35"/>
  <c r="F20" i="35"/>
  <c r="E20" i="35"/>
  <c r="D20" i="35"/>
  <c r="C20" i="35"/>
  <c r="B20" i="35"/>
  <c r="N19" i="35"/>
  <c r="M19" i="35"/>
  <c r="J19" i="35"/>
  <c r="H19" i="35"/>
  <c r="G19" i="35"/>
  <c r="F19" i="35"/>
  <c r="E19" i="35"/>
  <c r="D19" i="35"/>
  <c r="C19" i="35"/>
  <c r="B19" i="35"/>
  <c r="O18" i="35"/>
  <c r="N18" i="35"/>
  <c r="M18" i="35"/>
  <c r="K18" i="35"/>
  <c r="J18" i="35"/>
  <c r="H18" i="35"/>
  <c r="G18" i="35"/>
  <c r="E18" i="35"/>
  <c r="D18" i="35"/>
  <c r="C18" i="35"/>
  <c r="B18" i="35"/>
  <c r="N17" i="35"/>
  <c r="M17" i="35"/>
  <c r="L17" i="35"/>
  <c r="K17" i="35"/>
  <c r="J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O198" i="34"/>
  <c r="N198" i="34"/>
  <c r="L198" i="34"/>
  <c r="K198" i="34"/>
  <c r="H198" i="34"/>
  <c r="I198" i="34" s="1"/>
  <c r="E198" i="34"/>
  <c r="F198" i="34" s="1"/>
  <c r="N197" i="34"/>
  <c r="O197" i="34" s="1"/>
  <c r="K197" i="34"/>
  <c r="L197" i="34" s="1"/>
  <c r="H197" i="34"/>
  <c r="I197" i="34" s="1"/>
  <c r="E197" i="34"/>
  <c r="F197" i="34" s="1"/>
  <c r="N196" i="34"/>
  <c r="O196" i="34" s="1"/>
  <c r="L196" i="34"/>
  <c r="K196" i="34"/>
  <c r="H196" i="34"/>
  <c r="I196" i="34" s="1"/>
  <c r="F196" i="34"/>
  <c r="E196" i="34"/>
  <c r="N195" i="34"/>
  <c r="O195" i="34" s="1"/>
  <c r="K195" i="34"/>
  <c r="L195" i="34" s="1"/>
  <c r="H195" i="34"/>
  <c r="I195" i="34" s="1"/>
  <c r="F195" i="34"/>
  <c r="E195" i="34"/>
  <c r="O194" i="34"/>
  <c r="N194" i="34"/>
  <c r="K194" i="34"/>
  <c r="L194" i="34" s="1"/>
  <c r="H194" i="34"/>
  <c r="I194" i="34" s="1"/>
  <c r="E194" i="34"/>
  <c r="F194" i="34" s="1"/>
  <c r="N193" i="34"/>
  <c r="O193" i="34" s="1"/>
  <c r="L193" i="34"/>
  <c r="K193" i="34"/>
  <c r="H193" i="34"/>
  <c r="I193" i="34" s="1"/>
  <c r="E193" i="34"/>
  <c r="F193" i="34" s="1"/>
  <c r="N192" i="34"/>
  <c r="O192" i="34" s="1"/>
  <c r="K192" i="34"/>
  <c r="L192" i="34" s="1"/>
  <c r="H192" i="34"/>
  <c r="I192" i="34" s="1"/>
  <c r="F192" i="34"/>
  <c r="E192" i="34"/>
  <c r="N191" i="34"/>
  <c r="O191" i="34" s="1"/>
  <c r="K191" i="34"/>
  <c r="L191" i="34" s="1"/>
  <c r="H191" i="34"/>
  <c r="I191" i="34" s="1"/>
  <c r="F191" i="34"/>
  <c r="E191" i="34"/>
  <c r="N190" i="34"/>
  <c r="O190" i="34" s="1"/>
  <c r="L190" i="34"/>
  <c r="K190" i="34"/>
  <c r="H190" i="34"/>
  <c r="I190" i="34" s="1"/>
  <c r="E190" i="34"/>
  <c r="F190" i="34" s="1"/>
  <c r="N189" i="34"/>
  <c r="O189" i="34" s="1"/>
  <c r="L189" i="34"/>
  <c r="K189" i="34"/>
  <c r="H189" i="34"/>
  <c r="I189" i="34" s="1"/>
  <c r="E189" i="34"/>
  <c r="F189" i="34" s="1"/>
  <c r="N188" i="34"/>
  <c r="O188" i="34" s="1"/>
  <c r="L188" i="34"/>
  <c r="K188" i="34"/>
  <c r="H188" i="34"/>
  <c r="I188" i="34" s="1"/>
  <c r="E188" i="34"/>
  <c r="F188" i="34" s="1"/>
  <c r="N187" i="34"/>
  <c r="O187" i="34" s="1"/>
  <c r="L187" i="34"/>
  <c r="K187" i="34"/>
  <c r="H187" i="34"/>
  <c r="I187" i="34" s="1"/>
  <c r="E187" i="34"/>
  <c r="F187" i="34" s="1"/>
  <c r="N186" i="34"/>
  <c r="O186" i="34" s="1"/>
  <c r="L186" i="34"/>
  <c r="K186" i="34"/>
  <c r="H186" i="34"/>
  <c r="I186" i="34" s="1"/>
  <c r="F186" i="34"/>
  <c r="E186" i="34"/>
  <c r="N185" i="34"/>
  <c r="O185" i="34" s="1"/>
  <c r="K185" i="34"/>
  <c r="L185" i="34" s="1"/>
  <c r="H185" i="34"/>
  <c r="I185" i="34" s="1"/>
  <c r="F185" i="34"/>
  <c r="E185" i="34"/>
  <c r="O184" i="34"/>
  <c r="N184" i="34"/>
  <c r="K184" i="34"/>
  <c r="L184" i="34" s="1"/>
  <c r="H184" i="34"/>
  <c r="I184" i="34" s="1"/>
  <c r="E184" i="34"/>
  <c r="F184" i="34" s="1"/>
  <c r="N183" i="34"/>
  <c r="O183" i="34" s="1"/>
  <c r="L183" i="34"/>
  <c r="K183" i="34"/>
  <c r="H183" i="34"/>
  <c r="I183" i="34" s="1"/>
  <c r="E183" i="34"/>
  <c r="F183" i="34" s="1"/>
  <c r="N182" i="34"/>
  <c r="O182" i="34" s="1"/>
  <c r="K182" i="34"/>
  <c r="L182" i="34" s="1"/>
  <c r="H182" i="34"/>
  <c r="I182" i="34" s="1"/>
  <c r="E182" i="34"/>
  <c r="F182" i="34" s="1"/>
  <c r="O181" i="34"/>
  <c r="N181" i="34"/>
  <c r="L181" i="34"/>
  <c r="K181" i="34"/>
  <c r="H181" i="34"/>
  <c r="I181" i="34" s="1"/>
  <c r="E181" i="34"/>
  <c r="F181" i="34" s="1"/>
  <c r="O180" i="34"/>
  <c r="N180" i="34"/>
  <c r="K180" i="34"/>
  <c r="L180" i="34" s="1"/>
  <c r="H180" i="34"/>
  <c r="I180" i="34" s="1"/>
  <c r="E180" i="34"/>
  <c r="F180" i="34" s="1"/>
  <c r="N179" i="34"/>
  <c r="N199" i="34" s="1"/>
  <c r="L179" i="34"/>
  <c r="K179" i="34"/>
  <c r="H179" i="34"/>
  <c r="H199" i="34" s="1"/>
  <c r="E179" i="34"/>
  <c r="M177" i="34"/>
  <c r="J177" i="34"/>
  <c r="G177" i="34"/>
  <c r="D177" i="34"/>
  <c r="B177" i="34"/>
  <c r="M176" i="34"/>
  <c r="G176" i="34"/>
  <c r="B172" i="34"/>
  <c r="O171" i="34"/>
  <c r="N171" i="34"/>
  <c r="K171" i="34"/>
  <c r="L171" i="34" s="1"/>
  <c r="L36" i="34" s="1"/>
  <c r="H171" i="34"/>
  <c r="I171" i="34" s="1"/>
  <c r="I36" i="34" s="1"/>
  <c r="E171" i="34"/>
  <c r="F171" i="34" s="1"/>
  <c r="F36" i="34" s="1"/>
  <c r="N170" i="34"/>
  <c r="O170" i="34" s="1"/>
  <c r="O35" i="34" s="1"/>
  <c r="L170" i="34"/>
  <c r="L35" i="34" s="1"/>
  <c r="K170" i="34"/>
  <c r="H170" i="34"/>
  <c r="I170" i="34" s="1"/>
  <c r="I35" i="34" s="1"/>
  <c r="F170" i="34"/>
  <c r="E170" i="34"/>
  <c r="N169" i="34"/>
  <c r="O169" i="34" s="1"/>
  <c r="O34" i="34" s="1"/>
  <c r="K169" i="34"/>
  <c r="L169" i="34" s="1"/>
  <c r="L34" i="34" s="1"/>
  <c r="H169" i="34"/>
  <c r="I169" i="34" s="1"/>
  <c r="I34" i="34" s="1"/>
  <c r="F169" i="34"/>
  <c r="E169" i="34"/>
  <c r="N168" i="34"/>
  <c r="O168" i="34" s="1"/>
  <c r="O33" i="34" s="1"/>
  <c r="L168" i="34"/>
  <c r="K168" i="34"/>
  <c r="H168" i="34"/>
  <c r="I168" i="34" s="1"/>
  <c r="I33" i="34" s="1"/>
  <c r="F168" i="34"/>
  <c r="E168" i="34"/>
  <c r="N167" i="34"/>
  <c r="O167" i="34" s="1"/>
  <c r="O32" i="34" s="1"/>
  <c r="L167" i="34"/>
  <c r="K167" i="34"/>
  <c r="H167" i="34"/>
  <c r="I167" i="34" s="1"/>
  <c r="I32" i="34" s="1"/>
  <c r="F167" i="34"/>
  <c r="E167" i="34"/>
  <c r="N166" i="34"/>
  <c r="O166" i="34" s="1"/>
  <c r="O31" i="34" s="1"/>
  <c r="L166" i="34"/>
  <c r="K166" i="34"/>
  <c r="H166" i="34"/>
  <c r="I166" i="34" s="1"/>
  <c r="I31" i="34" s="1"/>
  <c r="F166" i="34"/>
  <c r="E166" i="34"/>
  <c r="O165" i="34"/>
  <c r="O30" i="34" s="1"/>
  <c r="N165" i="34"/>
  <c r="K165" i="34"/>
  <c r="L165" i="34" s="1"/>
  <c r="L30" i="34" s="1"/>
  <c r="H165" i="34"/>
  <c r="I165" i="34" s="1"/>
  <c r="I30" i="34" s="1"/>
  <c r="E165" i="34"/>
  <c r="F165" i="34" s="1"/>
  <c r="F30" i="34" s="1"/>
  <c r="N164" i="34"/>
  <c r="O164" i="34" s="1"/>
  <c r="O29" i="34" s="1"/>
  <c r="K164" i="34"/>
  <c r="L164" i="34" s="1"/>
  <c r="L29" i="34" s="1"/>
  <c r="H164" i="34"/>
  <c r="I164" i="34" s="1"/>
  <c r="I29" i="34" s="1"/>
  <c r="F164" i="34"/>
  <c r="E164" i="34"/>
  <c r="N163" i="34"/>
  <c r="N28" i="34" s="1"/>
  <c r="L163" i="34"/>
  <c r="K163" i="34"/>
  <c r="H163" i="34"/>
  <c r="I163" i="34" s="1"/>
  <c r="I28" i="34" s="1"/>
  <c r="E163" i="34"/>
  <c r="F163" i="34" s="1"/>
  <c r="F28" i="34" s="1"/>
  <c r="N162" i="34"/>
  <c r="O162" i="34" s="1"/>
  <c r="O27" i="34" s="1"/>
  <c r="L162" i="34"/>
  <c r="K162" i="34"/>
  <c r="H162" i="34"/>
  <c r="I162" i="34" s="1"/>
  <c r="I27" i="34" s="1"/>
  <c r="F162" i="34"/>
  <c r="E162" i="34"/>
  <c r="O161" i="34"/>
  <c r="O26" i="34" s="1"/>
  <c r="N161" i="34"/>
  <c r="K161" i="34"/>
  <c r="L161" i="34" s="1"/>
  <c r="L26" i="34" s="1"/>
  <c r="H161" i="34"/>
  <c r="I161" i="34" s="1"/>
  <c r="I26" i="34" s="1"/>
  <c r="E161" i="34"/>
  <c r="F161" i="34" s="1"/>
  <c r="F26" i="34" s="1"/>
  <c r="N160" i="34"/>
  <c r="O160" i="34" s="1"/>
  <c r="O25" i="34" s="1"/>
  <c r="K160" i="34"/>
  <c r="L160" i="34" s="1"/>
  <c r="L25" i="34" s="1"/>
  <c r="H160" i="34"/>
  <c r="I160" i="34" s="1"/>
  <c r="I25" i="34" s="1"/>
  <c r="F160" i="34"/>
  <c r="E160" i="34"/>
  <c r="N159" i="34"/>
  <c r="O159" i="34" s="1"/>
  <c r="O24" i="34" s="1"/>
  <c r="K159" i="34"/>
  <c r="L159" i="34" s="1"/>
  <c r="L24" i="34" s="1"/>
  <c r="H159" i="34"/>
  <c r="I159" i="34" s="1"/>
  <c r="I24" i="34" s="1"/>
  <c r="E159" i="34"/>
  <c r="F159" i="34" s="1"/>
  <c r="F24" i="34" s="1"/>
  <c r="O158" i="34"/>
  <c r="O23" i="34" s="1"/>
  <c r="N158" i="34"/>
  <c r="L158" i="34"/>
  <c r="K158" i="34"/>
  <c r="H158" i="34"/>
  <c r="I158" i="34" s="1"/>
  <c r="I23" i="34" s="1"/>
  <c r="F158" i="34"/>
  <c r="E158" i="34"/>
  <c r="N157" i="34"/>
  <c r="O157" i="34" s="1"/>
  <c r="O22" i="34" s="1"/>
  <c r="K157" i="34"/>
  <c r="L157" i="34" s="1"/>
  <c r="L22" i="34" s="1"/>
  <c r="H157" i="34"/>
  <c r="I157" i="34" s="1"/>
  <c r="I22" i="34" s="1"/>
  <c r="E157" i="34"/>
  <c r="F157" i="34" s="1"/>
  <c r="F22" i="34" s="1"/>
  <c r="O156" i="34"/>
  <c r="O21" i="34" s="1"/>
  <c r="N156" i="34"/>
  <c r="K156" i="34"/>
  <c r="L156" i="34" s="1"/>
  <c r="L21" i="34" s="1"/>
  <c r="H156" i="34"/>
  <c r="I156" i="34" s="1"/>
  <c r="I21" i="34" s="1"/>
  <c r="E156" i="34"/>
  <c r="F156" i="34" s="1"/>
  <c r="F21" i="34" s="1"/>
  <c r="N155" i="34"/>
  <c r="O155" i="34" s="1"/>
  <c r="O20" i="34" s="1"/>
  <c r="K155" i="34"/>
  <c r="L155" i="34" s="1"/>
  <c r="L20" i="34" s="1"/>
  <c r="H155" i="34"/>
  <c r="I155" i="34" s="1"/>
  <c r="I20" i="34" s="1"/>
  <c r="E155" i="34"/>
  <c r="F155" i="34" s="1"/>
  <c r="F20" i="34" s="1"/>
  <c r="N154" i="34"/>
  <c r="O154" i="34" s="1"/>
  <c r="O19" i="34" s="1"/>
  <c r="K154" i="34"/>
  <c r="L154" i="34" s="1"/>
  <c r="L19" i="34" s="1"/>
  <c r="H154" i="34"/>
  <c r="I154" i="34" s="1"/>
  <c r="I19" i="34" s="1"/>
  <c r="F154" i="34"/>
  <c r="E154" i="34"/>
  <c r="O153" i="34"/>
  <c r="N153" i="34"/>
  <c r="L153" i="34"/>
  <c r="K153" i="34"/>
  <c r="H153" i="34"/>
  <c r="I153" i="34" s="1"/>
  <c r="I18" i="34" s="1"/>
  <c r="E153" i="34"/>
  <c r="F153" i="34" s="1"/>
  <c r="F18" i="34" s="1"/>
  <c r="N152" i="34"/>
  <c r="L152" i="34"/>
  <c r="K152" i="34"/>
  <c r="H152" i="34"/>
  <c r="H172" i="34" s="1"/>
  <c r="E152" i="34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K143" i="34"/>
  <c r="L143" i="34" s="1"/>
  <c r="I143" i="34"/>
  <c r="H143" i="34"/>
  <c r="E143" i="34"/>
  <c r="F143" i="34" s="1"/>
  <c r="N142" i="34"/>
  <c r="O142" i="34" s="1"/>
  <c r="L142" i="34"/>
  <c r="K142" i="34"/>
  <c r="I142" i="34"/>
  <c r="H142" i="34"/>
  <c r="E142" i="34"/>
  <c r="F142" i="34" s="1"/>
  <c r="N141" i="34"/>
  <c r="O141" i="34" s="1"/>
  <c r="K141" i="34"/>
  <c r="L141" i="34" s="1"/>
  <c r="I141" i="34"/>
  <c r="H141" i="34"/>
  <c r="E141" i="34"/>
  <c r="F141" i="34" s="1"/>
  <c r="O140" i="34"/>
  <c r="N140" i="34"/>
  <c r="L140" i="34"/>
  <c r="K140" i="34"/>
  <c r="I140" i="34"/>
  <c r="H140" i="34"/>
  <c r="E140" i="34"/>
  <c r="F140" i="34" s="1"/>
  <c r="N139" i="34"/>
  <c r="O139" i="34" s="1"/>
  <c r="K139" i="34"/>
  <c r="L139" i="34" s="1"/>
  <c r="I139" i="34"/>
  <c r="H139" i="34"/>
  <c r="E139" i="34"/>
  <c r="F139" i="34" s="1"/>
  <c r="O138" i="34"/>
  <c r="N138" i="34"/>
  <c r="L138" i="34"/>
  <c r="K138" i="34"/>
  <c r="I138" i="34"/>
  <c r="H138" i="34"/>
  <c r="E138" i="34"/>
  <c r="F138" i="34" s="1"/>
  <c r="O137" i="34"/>
  <c r="N137" i="34"/>
  <c r="K137" i="34"/>
  <c r="L137" i="34" s="1"/>
  <c r="I137" i="34"/>
  <c r="H137" i="34"/>
  <c r="E137" i="34"/>
  <c r="F137" i="34" s="1"/>
  <c r="N136" i="34"/>
  <c r="O136" i="34" s="1"/>
  <c r="L136" i="34"/>
  <c r="K136" i="34"/>
  <c r="I136" i="34"/>
  <c r="H136" i="34"/>
  <c r="E136" i="34"/>
  <c r="F136" i="34" s="1"/>
  <c r="O135" i="34"/>
  <c r="N135" i="34"/>
  <c r="K135" i="34"/>
  <c r="L135" i="34" s="1"/>
  <c r="I135" i="34"/>
  <c r="H135" i="34"/>
  <c r="E135" i="34"/>
  <c r="F135" i="34" s="1"/>
  <c r="N134" i="34"/>
  <c r="O134" i="34" s="1"/>
  <c r="L134" i="34"/>
  <c r="K134" i="34"/>
  <c r="I134" i="34"/>
  <c r="H134" i="34"/>
  <c r="E134" i="34"/>
  <c r="F134" i="34" s="1"/>
  <c r="N133" i="34"/>
  <c r="O133" i="34" s="1"/>
  <c r="K133" i="34"/>
  <c r="L133" i="34" s="1"/>
  <c r="I133" i="34"/>
  <c r="H133" i="34"/>
  <c r="E133" i="34"/>
  <c r="F133" i="34" s="1"/>
  <c r="O132" i="34"/>
  <c r="N132" i="34"/>
  <c r="L132" i="34"/>
  <c r="K132" i="34"/>
  <c r="I132" i="34"/>
  <c r="H132" i="34"/>
  <c r="E132" i="34"/>
  <c r="F132" i="34" s="1"/>
  <c r="N131" i="34"/>
  <c r="O131" i="34" s="1"/>
  <c r="K131" i="34"/>
  <c r="L131" i="34" s="1"/>
  <c r="I131" i="34"/>
  <c r="H131" i="34"/>
  <c r="E131" i="34"/>
  <c r="F131" i="34" s="1"/>
  <c r="O130" i="34"/>
  <c r="N130" i="34"/>
  <c r="L130" i="34"/>
  <c r="K130" i="34"/>
  <c r="I130" i="34"/>
  <c r="H130" i="34"/>
  <c r="E130" i="34"/>
  <c r="F130" i="34" s="1"/>
  <c r="O129" i="34"/>
  <c r="N129" i="34"/>
  <c r="K129" i="34"/>
  <c r="L129" i="34" s="1"/>
  <c r="I129" i="34"/>
  <c r="H129" i="34"/>
  <c r="E129" i="34"/>
  <c r="F129" i="34" s="1"/>
  <c r="N128" i="34"/>
  <c r="O128" i="34" s="1"/>
  <c r="L128" i="34"/>
  <c r="K128" i="34"/>
  <c r="I128" i="34"/>
  <c r="H128" i="34"/>
  <c r="E128" i="34"/>
  <c r="F128" i="34" s="1"/>
  <c r="O127" i="34"/>
  <c r="N127" i="34"/>
  <c r="K127" i="34"/>
  <c r="L127" i="34" s="1"/>
  <c r="I127" i="34"/>
  <c r="H127" i="34"/>
  <c r="E127" i="34"/>
  <c r="F127" i="34" s="1"/>
  <c r="N126" i="34"/>
  <c r="O126" i="34" s="1"/>
  <c r="L126" i="34"/>
  <c r="K126" i="34"/>
  <c r="I126" i="34"/>
  <c r="H126" i="34"/>
  <c r="E126" i="34"/>
  <c r="F126" i="34" s="1"/>
  <c r="N125" i="34"/>
  <c r="K125" i="34"/>
  <c r="K145" i="34" s="1"/>
  <c r="I125" i="34"/>
  <c r="I145" i="34" s="1"/>
  <c r="H125" i="34"/>
  <c r="H145" i="34" s="1"/>
  <c r="E125" i="34"/>
  <c r="M123" i="34"/>
  <c r="J123" i="34"/>
  <c r="G123" i="34"/>
  <c r="D123" i="34"/>
  <c r="B123" i="34"/>
  <c r="M122" i="34"/>
  <c r="G122" i="34"/>
  <c r="B118" i="34"/>
  <c r="O117" i="34"/>
  <c r="N117" i="34"/>
  <c r="K117" i="34"/>
  <c r="L117" i="34" s="1"/>
  <c r="H117" i="34"/>
  <c r="I117" i="34" s="1"/>
  <c r="F117" i="34"/>
  <c r="E117" i="34"/>
  <c r="N116" i="34"/>
  <c r="O116" i="34" s="1"/>
  <c r="L116" i="34"/>
  <c r="K116" i="34"/>
  <c r="H116" i="34"/>
  <c r="I116" i="34" s="1"/>
  <c r="E116" i="34"/>
  <c r="F116" i="34" s="1"/>
  <c r="O115" i="34"/>
  <c r="N115" i="34"/>
  <c r="L115" i="34"/>
  <c r="K115" i="34"/>
  <c r="H115" i="34"/>
  <c r="I115" i="34" s="1"/>
  <c r="E115" i="34"/>
  <c r="F115" i="34" s="1"/>
  <c r="N114" i="34"/>
  <c r="O114" i="34" s="1"/>
  <c r="L114" i="34"/>
  <c r="K114" i="34"/>
  <c r="H114" i="34"/>
  <c r="I114" i="34" s="1"/>
  <c r="E114" i="34"/>
  <c r="F114" i="34" s="1"/>
  <c r="O113" i="34"/>
  <c r="N113" i="34"/>
  <c r="L113" i="34"/>
  <c r="K113" i="34"/>
  <c r="H113" i="34"/>
  <c r="I113" i="34" s="1"/>
  <c r="F113" i="34"/>
  <c r="E113" i="34"/>
  <c r="N112" i="34"/>
  <c r="O112" i="34" s="1"/>
  <c r="K112" i="34"/>
  <c r="L112" i="34" s="1"/>
  <c r="H112" i="34"/>
  <c r="I112" i="34" s="1"/>
  <c r="E112" i="34"/>
  <c r="F112" i="34" s="1"/>
  <c r="O111" i="34"/>
  <c r="N111" i="34"/>
  <c r="K111" i="34"/>
  <c r="L111" i="34" s="1"/>
  <c r="H111" i="34"/>
  <c r="I111" i="34" s="1"/>
  <c r="E111" i="34"/>
  <c r="F111" i="34" s="1"/>
  <c r="O110" i="34"/>
  <c r="N110" i="34"/>
  <c r="K110" i="34"/>
  <c r="L110" i="34" s="1"/>
  <c r="H110" i="34"/>
  <c r="I110" i="34" s="1"/>
  <c r="E110" i="34"/>
  <c r="F110" i="34" s="1"/>
  <c r="N109" i="34"/>
  <c r="O109" i="34" s="1"/>
  <c r="K109" i="34"/>
  <c r="L109" i="34" s="1"/>
  <c r="H109" i="34"/>
  <c r="I109" i="34" s="1"/>
  <c r="F109" i="34"/>
  <c r="E109" i="34"/>
  <c r="O108" i="34"/>
  <c r="N108" i="34"/>
  <c r="L108" i="34"/>
  <c r="K108" i="34"/>
  <c r="H108" i="34"/>
  <c r="I108" i="34" s="1"/>
  <c r="E108" i="34"/>
  <c r="F108" i="34" s="1"/>
  <c r="N107" i="34"/>
  <c r="O107" i="34" s="1"/>
  <c r="L107" i="34"/>
  <c r="K107" i="34"/>
  <c r="H107" i="34"/>
  <c r="I107" i="34" s="1"/>
  <c r="F107" i="34"/>
  <c r="E107" i="34"/>
  <c r="O106" i="34"/>
  <c r="N106" i="34"/>
  <c r="K106" i="34"/>
  <c r="L106" i="34" s="1"/>
  <c r="H106" i="34"/>
  <c r="I106" i="34" s="1"/>
  <c r="E106" i="34"/>
  <c r="F106" i="34" s="1"/>
  <c r="N105" i="34"/>
  <c r="O105" i="34" s="1"/>
  <c r="K105" i="34"/>
  <c r="L105" i="34" s="1"/>
  <c r="H105" i="34"/>
  <c r="I105" i="34" s="1"/>
  <c r="F105" i="34"/>
  <c r="E105" i="34"/>
  <c r="O104" i="34"/>
  <c r="N104" i="34"/>
  <c r="L104" i="34"/>
  <c r="K104" i="34"/>
  <c r="H104" i="34"/>
  <c r="I104" i="34" s="1"/>
  <c r="E104" i="34"/>
  <c r="F104" i="34" s="1"/>
  <c r="N103" i="34"/>
  <c r="O103" i="34" s="1"/>
  <c r="L103" i="34"/>
  <c r="K103" i="34"/>
  <c r="H103" i="34"/>
  <c r="I103" i="34" s="1"/>
  <c r="E103" i="34"/>
  <c r="F103" i="34" s="1"/>
  <c r="O102" i="34"/>
  <c r="N102" i="34"/>
  <c r="L102" i="34"/>
  <c r="K102" i="34"/>
  <c r="H102" i="34"/>
  <c r="I102" i="34" s="1"/>
  <c r="E102" i="34"/>
  <c r="F102" i="34" s="1"/>
  <c r="N101" i="34"/>
  <c r="O101" i="34" s="1"/>
  <c r="L101" i="34"/>
  <c r="K101" i="34"/>
  <c r="H101" i="34"/>
  <c r="I101" i="34" s="1"/>
  <c r="E101" i="34"/>
  <c r="F101" i="34" s="1"/>
  <c r="O100" i="34"/>
  <c r="N100" i="34"/>
  <c r="L100" i="34"/>
  <c r="K100" i="34"/>
  <c r="H100" i="34"/>
  <c r="I100" i="34" s="1"/>
  <c r="F100" i="34"/>
  <c r="E100" i="34"/>
  <c r="N99" i="34"/>
  <c r="O99" i="34" s="1"/>
  <c r="K99" i="34"/>
  <c r="L99" i="34" s="1"/>
  <c r="H99" i="34"/>
  <c r="I99" i="34" s="1"/>
  <c r="F99" i="34"/>
  <c r="E99" i="34"/>
  <c r="O98" i="34"/>
  <c r="N98" i="34"/>
  <c r="L98" i="34"/>
  <c r="K98" i="34"/>
  <c r="H98" i="34"/>
  <c r="H118" i="34" s="1"/>
  <c r="E98" i="34"/>
  <c r="M96" i="34"/>
  <c r="J96" i="34"/>
  <c r="G96" i="34"/>
  <c r="D96" i="34"/>
  <c r="B96" i="34"/>
  <c r="M95" i="34"/>
  <c r="G95" i="34"/>
  <c r="B91" i="34"/>
  <c r="N90" i="34"/>
  <c r="O90" i="34" s="1"/>
  <c r="L90" i="34"/>
  <c r="K90" i="34"/>
  <c r="H90" i="34"/>
  <c r="I90" i="34" s="1"/>
  <c r="F90" i="34"/>
  <c r="E90" i="34"/>
  <c r="O89" i="34"/>
  <c r="N89" i="34"/>
  <c r="K89" i="34"/>
  <c r="L89" i="34" s="1"/>
  <c r="H89" i="34"/>
  <c r="I89" i="34" s="1"/>
  <c r="F89" i="34"/>
  <c r="E89" i="34"/>
  <c r="N88" i="34"/>
  <c r="O88" i="34" s="1"/>
  <c r="L88" i="34"/>
  <c r="K88" i="34"/>
  <c r="H88" i="34"/>
  <c r="I88" i="34" s="1"/>
  <c r="E88" i="34"/>
  <c r="F88" i="34" s="1"/>
  <c r="O87" i="34"/>
  <c r="N87" i="34"/>
  <c r="L87" i="34"/>
  <c r="K87" i="34"/>
  <c r="I87" i="34"/>
  <c r="H87" i="34"/>
  <c r="E87" i="34"/>
  <c r="F87" i="34" s="1"/>
  <c r="O86" i="34"/>
  <c r="N86" i="34"/>
  <c r="K86" i="34"/>
  <c r="L86" i="34" s="1"/>
  <c r="I86" i="34"/>
  <c r="H86" i="34"/>
  <c r="F86" i="34"/>
  <c r="E86" i="34"/>
  <c r="N85" i="34"/>
  <c r="O85" i="34" s="1"/>
  <c r="K85" i="34"/>
  <c r="L85" i="34" s="1"/>
  <c r="I85" i="34"/>
  <c r="H85" i="34"/>
  <c r="E85" i="34"/>
  <c r="F85" i="34" s="1"/>
  <c r="O84" i="34"/>
  <c r="N84" i="34"/>
  <c r="L84" i="34"/>
  <c r="K84" i="34"/>
  <c r="I84" i="34"/>
  <c r="H84" i="34"/>
  <c r="E84" i="34"/>
  <c r="F84" i="34" s="1"/>
  <c r="O83" i="34"/>
  <c r="N83" i="34"/>
  <c r="K83" i="34"/>
  <c r="L83" i="34" s="1"/>
  <c r="I83" i="34"/>
  <c r="H83" i="34"/>
  <c r="E83" i="34"/>
  <c r="F83" i="34" s="1"/>
  <c r="N82" i="34"/>
  <c r="O82" i="34" s="1"/>
  <c r="L82" i="34"/>
  <c r="K82" i="34"/>
  <c r="I82" i="34"/>
  <c r="H82" i="34"/>
  <c r="E82" i="34"/>
  <c r="F82" i="34" s="1"/>
  <c r="O81" i="34"/>
  <c r="N81" i="34"/>
  <c r="K81" i="34"/>
  <c r="L81" i="34" s="1"/>
  <c r="I81" i="34"/>
  <c r="H81" i="34"/>
  <c r="E81" i="34"/>
  <c r="F81" i="34" s="1"/>
  <c r="N80" i="34"/>
  <c r="O80" i="34" s="1"/>
  <c r="L80" i="34"/>
  <c r="K80" i="34"/>
  <c r="I80" i="34"/>
  <c r="H80" i="34"/>
  <c r="E80" i="34"/>
  <c r="F80" i="34" s="1"/>
  <c r="N79" i="34"/>
  <c r="O79" i="34" s="1"/>
  <c r="K79" i="34"/>
  <c r="L79" i="34" s="1"/>
  <c r="I79" i="34"/>
  <c r="H79" i="34"/>
  <c r="E79" i="34"/>
  <c r="F79" i="34" s="1"/>
  <c r="O78" i="34"/>
  <c r="N78" i="34"/>
  <c r="L78" i="34"/>
  <c r="K78" i="34"/>
  <c r="I78" i="34"/>
  <c r="H78" i="34"/>
  <c r="E78" i="34"/>
  <c r="F78" i="34" s="1"/>
  <c r="N77" i="34"/>
  <c r="O77" i="34" s="1"/>
  <c r="K77" i="34"/>
  <c r="L77" i="34" s="1"/>
  <c r="I77" i="34"/>
  <c r="H77" i="34"/>
  <c r="E77" i="34"/>
  <c r="F77" i="34" s="1"/>
  <c r="O76" i="34"/>
  <c r="N76" i="34"/>
  <c r="L76" i="34"/>
  <c r="K76" i="34"/>
  <c r="I76" i="34"/>
  <c r="H76" i="34"/>
  <c r="E76" i="34"/>
  <c r="F76" i="34" s="1"/>
  <c r="O75" i="34"/>
  <c r="N75" i="34"/>
  <c r="K75" i="34"/>
  <c r="L75" i="34" s="1"/>
  <c r="I75" i="34"/>
  <c r="H75" i="34"/>
  <c r="E75" i="34"/>
  <c r="F75" i="34" s="1"/>
  <c r="N74" i="34"/>
  <c r="O74" i="34" s="1"/>
  <c r="L74" i="34"/>
  <c r="K74" i="34"/>
  <c r="I74" i="34"/>
  <c r="H74" i="34"/>
  <c r="E74" i="34"/>
  <c r="F74" i="34" s="1"/>
  <c r="O73" i="34"/>
  <c r="N73" i="34"/>
  <c r="K73" i="34"/>
  <c r="L73" i="34" s="1"/>
  <c r="I73" i="34"/>
  <c r="H73" i="34"/>
  <c r="E73" i="34"/>
  <c r="F73" i="34" s="1"/>
  <c r="N72" i="34"/>
  <c r="O72" i="34" s="1"/>
  <c r="L72" i="34"/>
  <c r="K72" i="34"/>
  <c r="I72" i="34"/>
  <c r="H72" i="34"/>
  <c r="E72" i="34"/>
  <c r="F72" i="34" s="1"/>
  <c r="N71" i="34"/>
  <c r="K71" i="34"/>
  <c r="K91" i="34" s="1"/>
  <c r="I71" i="34"/>
  <c r="H71" i="34"/>
  <c r="H91" i="34" s="1"/>
  <c r="E71" i="34"/>
  <c r="M69" i="34"/>
  <c r="J69" i="34"/>
  <c r="G69" i="34"/>
  <c r="D69" i="34"/>
  <c r="B69" i="34"/>
  <c r="M68" i="34"/>
  <c r="G68" i="34"/>
  <c r="B64" i="34"/>
  <c r="O63" i="34"/>
  <c r="N63" i="34"/>
  <c r="L63" i="34"/>
  <c r="K63" i="34"/>
  <c r="I63" i="34"/>
  <c r="H63" i="34"/>
  <c r="F63" i="34"/>
  <c r="E63" i="34"/>
  <c r="O62" i="34"/>
  <c r="N62" i="34"/>
  <c r="K62" i="34"/>
  <c r="L62" i="34" s="1"/>
  <c r="H62" i="34"/>
  <c r="I62" i="34" s="1"/>
  <c r="E62" i="34"/>
  <c r="F62" i="34" s="1"/>
  <c r="N61" i="34"/>
  <c r="O61" i="34" s="1"/>
  <c r="L61" i="34"/>
  <c r="K61" i="34"/>
  <c r="H61" i="34"/>
  <c r="I61" i="34" s="1"/>
  <c r="F61" i="34"/>
  <c r="E61" i="34"/>
  <c r="O60" i="34"/>
  <c r="N60" i="34"/>
  <c r="K60" i="34"/>
  <c r="L60" i="34" s="1"/>
  <c r="H60" i="34"/>
  <c r="I60" i="34" s="1"/>
  <c r="E60" i="34"/>
  <c r="F60" i="34" s="1"/>
  <c r="O59" i="34"/>
  <c r="N59" i="34"/>
  <c r="K59" i="34"/>
  <c r="L59" i="34" s="1"/>
  <c r="H59" i="34"/>
  <c r="I59" i="34" s="1"/>
  <c r="E59" i="34"/>
  <c r="F59" i="34" s="1"/>
  <c r="N58" i="34"/>
  <c r="O58" i="34" s="1"/>
  <c r="K58" i="34"/>
  <c r="L58" i="34" s="1"/>
  <c r="H58" i="34"/>
  <c r="I58" i="34" s="1"/>
  <c r="E58" i="34"/>
  <c r="F58" i="34" s="1"/>
  <c r="O57" i="34"/>
  <c r="N57" i="34"/>
  <c r="K57" i="34"/>
  <c r="L57" i="34" s="1"/>
  <c r="H57" i="34"/>
  <c r="I57" i="34" s="1"/>
  <c r="F57" i="34"/>
  <c r="E57" i="34"/>
  <c r="N56" i="34"/>
  <c r="O56" i="34" s="1"/>
  <c r="L56" i="34"/>
  <c r="K56" i="34"/>
  <c r="H56" i="34"/>
  <c r="I56" i="34" s="1"/>
  <c r="E56" i="34"/>
  <c r="F56" i="34" s="1"/>
  <c r="O55" i="34"/>
  <c r="N55" i="34"/>
  <c r="K55" i="34"/>
  <c r="L55" i="34" s="1"/>
  <c r="H55" i="34"/>
  <c r="I55" i="34" s="1"/>
  <c r="E55" i="34"/>
  <c r="F55" i="34" s="1"/>
  <c r="O54" i="34"/>
  <c r="N54" i="34"/>
  <c r="L54" i="34"/>
  <c r="K54" i="34"/>
  <c r="H54" i="34"/>
  <c r="I54" i="34" s="1"/>
  <c r="E54" i="34"/>
  <c r="F54" i="34" s="1"/>
  <c r="N53" i="34"/>
  <c r="O53" i="34" s="1"/>
  <c r="K53" i="34"/>
  <c r="L53" i="34" s="1"/>
  <c r="H53" i="34"/>
  <c r="I53" i="34" s="1"/>
  <c r="F53" i="34"/>
  <c r="E53" i="34"/>
  <c r="O52" i="34"/>
  <c r="N52" i="34"/>
  <c r="K52" i="34"/>
  <c r="L52" i="34" s="1"/>
  <c r="H52" i="34"/>
  <c r="I52" i="34" s="1"/>
  <c r="E52" i="34"/>
  <c r="F52" i="34" s="1"/>
  <c r="O51" i="34"/>
  <c r="N51" i="34"/>
  <c r="K51" i="34"/>
  <c r="L51" i="34" s="1"/>
  <c r="H51" i="34"/>
  <c r="I51" i="34" s="1"/>
  <c r="F51" i="34"/>
  <c r="E51" i="34"/>
  <c r="O50" i="34"/>
  <c r="N50" i="34"/>
  <c r="K50" i="34"/>
  <c r="L50" i="34" s="1"/>
  <c r="H50" i="34"/>
  <c r="I50" i="34" s="1"/>
  <c r="E50" i="34"/>
  <c r="F50" i="34" s="1"/>
  <c r="O49" i="34"/>
  <c r="N49" i="34"/>
  <c r="L49" i="34"/>
  <c r="K49" i="34"/>
  <c r="H49" i="34"/>
  <c r="I49" i="34" s="1"/>
  <c r="F49" i="34"/>
  <c r="E49" i="34"/>
  <c r="O48" i="34"/>
  <c r="N48" i="34"/>
  <c r="K48" i="34"/>
  <c r="L48" i="34" s="1"/>
  <c r="H48" i="34"/>
  <c r="I48" i="34" s="1"/>
  <c r="E48" i="34"/>
  <c r="F48" i="34" s="1"/>
  <c r="O47" i="34"/>
  <c r="N47" i="34"/>
  <c r="K47" i="34"/>
  <c r="L47" i="34" s="1"/>
  <c r="H47" i="34"/>
  <c r="I47" i="34" s="1"/>
  <c r="E47" i="34"/>
  <c r="F47" i="34" s="1"/>
  <c r="O46" i="34"/>
  <c r="N46" i="34"/>
  <c r="K46" i="34"/>
  <c r="L46" i="34" s="1"/>
  <c r="H46" i="34"/>
  <c r="I46" i="34" s="1"/>
  <c r="E46" i="34"/>
  <c r="F46" i="34" s="1"/>
  <c r="N45" i="34"/>
  <c r="O45" i="34" s="1"/>
  <c r="K45" i="34"/>
  <c r="L45" i="34" s="1"/>
  <c r="H45" i="34"/>
  <c r="I45" i="34" s="1"/>
  <c r="F45" i="34"/>
  <c r="E45" i="34"/>
  <c r="O44" i="34"/>
  <c r="N44" i="34"/>
  <c r="L44" i="34"/>
  <c r="K44" i="34"/>
  <c r="H44" i="34"/>
  <c r="H64" i="34" s="1"/>
  <c r="E44" i="34"/>
  <c r="M42" i="34"/>
  <c r="J42" i="34"/>
  <c r="G42" i="34"/>
  <c r="D42" i="34"/>
  <c r="B42" i="34"/>
  <c r="M41" i="34"/>
  <c r="G41" i="34"/>
  <c r="O36" i="34"/>
  <c r="N36" i="34"/>
  <c r="M36" i="34"/>
  <c r="K36" i="34"/>
  <c r="J36" i="34"/>
  <c r="H36" i="34"/>
  <c r="G36" i="34"/>
  <c r="E36" i="34"/>
  <c r="D36" i="34"/>
  <c r="C36" i="34"/>
  <c r="B36" i="34"/>
  <c r="N35" i="34"/>
  <c r="M35" i="34"/>
  <c r="K35" i="34"/>
  <c r="J35" i="34"/>
  <c r="H35" i="34"/>
  <c r="G35" i="34"/>
  <c r="F35" i="34"/>
  <c r="E35" i="34"/>
  <c r="D35" i="34"/>
  <c r="C35" i="34"/>
  <c r="B35" i="34"/>
  <c r="N34" i="34"/>
  <c r="M34" i="34"/>
  <c r="K34" i="34"/>
  <c r="J34" i="34"/>
  <c r="H34" i="34"/>
  <c r="G34" i="34"/>
  <c r="F34" i="34"/>
  <c r="E34" i="34"/>
  <c r="D34" i="34"/>
  <c r="C34" i="34"/>
  <c r="B34" i="34"/>
  <c r="M33" i="34"/>
  <c r="L33" i="34"/>
  <c r="K33" i="34"/>
  <c r="J33" i="34"/>
  <c r="H33" i="34"/>
  <c r="G33" i="34"/>
  <c r="F33" i="34"/>
  <c r="E33" i="34"/>
  <c r="D33" i="34"/>
  <c r="C33" i="34"/>
  <c r="B33" i="34"/>
  <c r="N32" i="34"/>
  <c r="M32" i="34"/>
  <c r="L32" i="34"/>
  <c r="K32" i="34"/>
  <c r="J32" i="34"/>
  <c r="H32" i="34"/>
  <c r="G32" i="34"/>
  <c r="F32" i="34"/>
  <c r="E32" i="34"/>
  <c r="D32" i="34"/>
  <c r="C32" i="34"/>
  <c r="B32" i="34"/>
  <c r="N31" i="34"/>
  <c r="M31" i="34"/>
  <c r="L31" i="34"/>
  <c r="K31" i="34"/>
  <c r="J31" i="34"/>
  <c r="H31" i="34"/>
  <c r="G31" i="34"/>
  <c r="F31" i="34"/>
  <c r="E31" i="34"/>
  <c r="D31" i="34"/>
  <c r="C31" i="34"/>
  <c r="B31" i="34"/>
  <c r="N30" i="34"/>
  <c r="M30" i="34"/>
  <c r="K30" i="34"/>
  <c r="J30" i="34"/>
  <c r="H30" i="34"/>
  <c r="G30" i="34"/>
  <c r="E30" i="34"/>
  <c r="D30" i="34"/>
  <c r="C30" i="34"/>
  <c r="B30" i="34"/>
  <c r="N29" i="34"/>
  <c r="M29" i="34"/>
  <c r="K29" i="34"/>
  <c r="J29" i="34"/>
  <c r="H29" i="34"/>
  <c r="G29" i="34"/>
  <c r="F29" i="34"/>
  <c r="E29" i="34"/>
  <c r="D29" i="34"/>
  <c r="C29" i="34"/>
  <c r="B29" i="34"/>
  <c r="M28" i="34"/>
  <c r="L28" i="34"/>
  <c r="K28" i="34"/>
  <c r="J28" i="34"/>
  <c r="H28" i="34"/>
  <c r="G28" i="34"/>
  <c r="E28" i="34"/>
  <c r="D28" i="34"/>
  <c r="C28" i="34"/>
  <c r="B28" i="34"/>
  <c r="N27" i="34"/>
  <c r="M27" i="34"/>
  <c r="L27" i="34"/>
  <c r="K27" i="34"/>
  <c r="J27" i="34"/>
  <c r="H27" i="34"/>
  <c r="G27" i="34"/>
  <c r="F27" i="34"/>
  <c r="E27" i="34"/>
  <c r="D27" i="34"/>
  <c r="C27" i="34"/>
  <c r="B27" i="34"/>
  <c r="N26" i="34"/>
  <c r="M26" i="34"/>
  <c r="K26" i="34"/>
  <c r="J26" i="34"/>
  <c r="H26" i="34"/>
  <c r="G26" i="34"/>
  <c r="E26" i="34"/>
  <c r="D26" i="34"/>
  <c r="C26" i="34"/>
  <c r="B26" i="34"/>
  <c r="N25" i="34"/>
  <c r="M25" i="34"/>
  <c r="K25" i="34"/>
  <c r="J25" i="34"/>
  <c r="H25" i="34"/>
  <c r="G25" i="34"/>
  <c r="F25" i="34"/>
  <c r="E25" i="34"/>
  <c r="D25" i="34"/>
  <c r="C25" i="34"/>
  <c r="B25" i="34"/>
  <c r="N24" i="34"/>
  <c r="M24" i="34"/>
  <c r="K24" i="34"/>
  <c r="J24" i="34"/>
  <c r="H24" i="34"/>
  <c r="G24" i="34"/>
  <c r="E24" i="34"/>
  <c r="D24" i="34"/>
  <c r="C24" i="34"/>
  <c r="B24" i="34"/>
  <c r="N23" i="34"/>
  <c r="M23" i="34"/>
  <c r="L23" i="34"/>
  <c r="K23" i="34"/>
  <c r="J23" i="34"/>
  <c r="H23" i="34"/>
  <c r="G23" i="34"/>
  <c r="F23" i="34"/>
  <c r="E23" i="34"/>
  <c r="D23" i="34"/>
  <c r="C23" i="34"/>
  <c r="B23" i="34"/>
  <c r="N22" i="34"/>
  <c r="M22" i="34"/>
  <c r="K22" i="34"/>
  <c r="J22" i="34"/>
  <c r="H22" i="34"/>
  <c r="G22" i="34"/>
  <c r="E22" i="34"/>
  <c r="D22" i="34"/>
  <c r="C22" i="34"/>
  <c r="B22" i="34"/>
  <c r="N21" i="34"/>
  <c r="M21" i="34"/>
  <c r="K21" i="34"/>
  <c r="J21" i="34"/>
  <c r="H21" i="34"/>
  <c r="G21" i="34"/>
  <c r="E21" i="34"/>
  <c r="D21" i="34"/>
  <c r="C21" i="34"/>
  <c r="B21" i="34"/>
  <c r="N20" i="34"/>
  <c r="M20" i="34"/>
  <c r="K20" i="34"/>
  <c r="J20" i="34"/>
  <c r="H20" i="34"/>
  <c r="G20" i="34"/>
  <c r="E20" i="34"/>
  <c r="D20" i="34"/>
  <c r="C20" i="34"/>
  <c r="B20" i="34"/>
  <c r="N19" i="34"/>
  <c r="M19" i="34"/>
  <c r="K19" i="34"/>
  <c r="J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H18" i="34"/>
  <c r="G18" i="34"/>
  <c r="E18" i="34"/>
  <c r="D18" i="34"/>
  <c r="C18" i="34"/>
  <c r="B18" i="34"/>
  <c r="N17" i="34"/>
  <c r="M17" i="34"/>
  <c r="L17" i="34"/>
  <c r="K17" i="34"/>
  <c r="J17" i="34"/>
  <c r="H17" i="34"/>
  <c r="G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O198" i="33"/>
  <c r="N198" i="33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N196" i="33"/>
  <c r="O196" i="33" s="1"/>
  <c r="K196" i="33"/>
  <c r="L196" i="33" s="1"/>
  <c r="H196" i="33"/>
  <c r="I196" i="33" s="1"/>
  <c r="F196" i="33"/>
  <c r="E196" i="33"/>
  <c r="N195" i="33"/>
  <c r="O195" i="33" s="1"/>
  <c r="K195" i="33"/>
  <c r="L195" i="33" s="1"/>
  <c r="H195" i="33"/>
  <c r="I195" i="33" s="1"/>
  <c r="F195" i="33"/>
  <c r="E195" i="33"/>
  <c r="N194" i="33"/>
  <c r="O194" i="33" s="1"/>
  <c r="L194" i="33"/>
  <c r="K194" i="33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O191" i="33"/>
  <c r="N191" i="33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N187" i="33"/>
  <c r="O187" i="33" s="1"/>
  <c r="K187" i="33"/>
  <c r="L187" i="33" s="1"/>
  <c r="H187" i="33"/>
  <c r="I187" i="33" s="1"/>
  <c r="F187" i="33"/>
  <c r="E187" i="33"/>
  <c r="N186" i="33"/>
  <c r="O186" i="33" s="1"/>
  <c r="L186" i="33"/>
  <c r="K186" i="33"/>
  <c r="H186" i="33"/>
  <c r="I186" i="33" s="1"/>
  <c r="F186" i="33"/>
  <c r="E186" i="33"/>
  <c r="O185" i="33"/>
  <c r="N185" i="33"/>
  <c r="K185" i="33"/>
  <c r="L185" i="33" s="1"/>
  <c r="H185" i="33"/>
  <c r="I185" i="33" s="1"/>
  <c r="F185" i="33"/>
  <c r="E185" i="33"/>
  <c r="O184" i="33"/>
  <c r="N184" i="33"/>
  <c r="K184" i="33"/>
  <c r="L184" i="33" s="1"/>
  <c r="H184" i="33"/>
  <c r="I184" i="33" s="1"/>
  <c r="F184" i="33"/>
  <c r="E184" i="33"/>
  <c r="O183" i="33"/>
  <c r="N183" i="33"/>
  <c r="K183" i="33"/>
  <c r="L183" i="33" s="1"/>
  <c r="H183" i="33"/>
  <c r="I183" i="33" s="1"/>
  <c r="F183" i="33"/>
  <c r="E183" i="33"/>
  <c r="O182" i="33"/>
  <c r="N182" i="33"/>
  <c r="L182" i="33"/>
  <c r="K182" i="33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N179" i="33"/>
  <c r="N199" i="33" s="1"/>
  <c r="K179" i="33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F171" i="33"/>
  <c r="E171" i="33"/>
  <c r="O170" i="33"/>
  <c r="N170" i="33"/>
  <c r="K170" i="33"/>
  <c r="L170" i="33" s="1"/>
  <c r="H170" i="33"/>
  <c r="I170" i="33" s="1"/>
  <c r="F170" i="33"/>
  <c r="E170" i="33"/>
  <c r="N169" i="33"/>
  <c r="O169" i="33" s="1"/>
  <c r="K169" i="33"/>
  <c r="L169" i="33" s="1"/>
  <c r="H169" i="33"/>
  <c r="I169" i="33" s="1"/>
  <c r="F169" i="33"/>
  <c r="E169" i="33"/>
  <c r="O168" i="33"/>
  <c r="N168" i="33"/>
  <c r="L168" i="33"/>
  <c r="K168" i="33"/>
  <c r="H168" i="33"/>
  <c r="I168" i="33" s="1"/>
  <c r="F168" i="33"/>
  <c r="E168" i="33"/>
  <c r="N167" i="33"/>
  <c r="O167" i="33" s="1"/>
  <c r="L167" i="33"/>
  <c r="K167" i="33"/>
  <c r="H167" i="33"/>
  <c r="I167" i="33" s="1"/>
  <c r="F167" i="33"/>
  <c r="E167" i="33"/>
  <c r="N166" i="33"/>
  <c r="O166" i="33" s="1"/>
  <c r="K166" i="33"/>
  <c r="L166" i="33" s="1"/>
  <c r="H166" i="33"/>
  <c r="I166" i="33" s="1"/>
  <c r="F166" i="33"/>
  <c r="E166" i="33"/>
  <c r="O165" i="33"/>
  <c r="N165" i="33"/>
  <c r="K165" i="33"/>
  <c r="L165" i="33" s="1"/>
  <c r="H165" i="33"/>
  <c r="I165" i="33" s="1"/>
  <c r="F165" i="33"/>
  <c r="E165" i="33"/>
  <c r="N164" i="33"/>
  <c r="O164" i="33" s="1"/>
  <c r="L164" i="33"/>
  <c r="K164" i="33"/>
  <c r="H164" i="33"/>
  <c r="I164" i="33" s="1"/>
  <c r="F164" i="33"/>
  <c r="E164" i="33"/>
  <c r="O163" i="33"/>
  <c r="N163" i="33"/>
  <c r="L163" i="33"/>
  <c r="K163" i="33"/>
  <c r="H163" i="33"/>
  <c r="I163" i="33" s="1"/>
  <c r="F163" i="33"/>
  <c r="E163" i="33"/>
  <c r="O162" i="33"/>
  <c r="N162" i="33"/>
  <c r="K162" i="33"/>
  <c r="L162" i="33" s="1"/>
  <c r="H162" i="33"/>
  <c r="I162" i="33" s="1"/>
  <c r="F162" i="33"/>
  <c r="E162" i="33"/>
  <c r="N161" i="33"/>
  <c r="O161" i="33" s="1"/>
  <c r="K161" i="33"/>
  <c r="L161" i="33" s="1"/>
  <c r="H161" i="33"/>
  <c r="I161" i="33" s="1"/>
  <c r="F161" i="33"/>
  <c r="E161" i="33"/>
  <c r="O160" i="33"/>
  <c r="N160" i="33"/>
  <c r="L160" i="33"/>
  <c r="K160" i="33"/>
  <c r="H160" i="33"/>
  <c r="I160" i="33" s="1"/>
  <c r="F160" i="33"/>
  <c r="E160" i="33"/>
  <c r="N159" i="33"/>
  <c r="O159" i="33" s="1"/>
  <c r="L159" i="33"/>
  <c r="K159" i="33"/>
  <c r="H159" i="33"/>
  <c r="I159" i="33" s="1"/>
  <c r="F159" i="33"/>
  <c r="E159" i="33"/>
  <c r="N158" i="33"/>
  <c r="O158" i="33" s="1"/>
  <c r="K158" i="33"/>
  <c r="L158" i="33" s="1"/>
  <c r="H158" i="33"/>
  <c r="I158" i="33" s="1"/>
  <c r="F158" i="33"/>
  <c r="E158" i="33"/>
  <c r="O157" i="33"/>
  <c r="N157" i="33"/>
  <c r="K157" i="33"/>
  <c r="L157" i="33" s="1"/>
  <c r="H157" i="33"/>
  <c r="I157" i="33" s="1"/>
  <c r="F157" i="33"/>
  <c r="E157" i="33"/>
  <c r="N156" i="33"/>
  <c r="O156" i="33" s="1"/>
  <c r="L156" i="33"/>
  <c r="K156" i="33"/>
  <c r="H156" i="33"/>
  <c r="I156" i="33" s="1"/>
  <c r="F156" i="33"/>
  <c r="E156" i="33"/>
  <c r="N155" i="33"/>
  <c r="O155" i="33" s="1"/>
  <c r="L155" i="33"/>
  <c r="K155" i="33"/>
  <c r="H155" i="33"/>
  <c r="I155" i="33" s="1"/>
  <c r="F155" i="33"/>
  <c r="E155" i="33"/>
  <c r="O154" i="33"/>
  <c r="N154" i="33"/>
  <c r="K154" i="33"/>
  <c r="L154" i="33" s="1"/>
  <c r="H154" i="33"/>
  <c r="I154" i="33" s="1"/>
  <c r="F154" i="33"/>
  <c r="E154" i="33"/>
  <c r="N153" i="33"/>
  <c r="O153" i="33" s="1"/>
  <c r="K153" i="33"/>
  <c r="L153" i="33" s="1"/>
  <c r="H153" i="33"/>
  <c r="I153" i="33" s="1"/>
  <c r="F153" i="33"/>
  <c r="E153" i="33"/>
  <c r="O152" i="33"/>
  <c r="N152" i="33"/>
  <c r="L152" i="33"/>
  <c r="K152" i="33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N143" i="33"/>
  <c r="O143" i="33" s="1"/>
  <c r="L143" i="33"/>
  <c r="K143" i="33"/>
  <c r="H143" i="33"/>
  <c r="I143" i="33" s="1"/>
  <c r="F143" i="33"/>
  <c r="E143" i="33"/>
  <c r="N142" i="33"/>
  <c r="O142" i="33" s="1"/>
  <c r="K142" i="33"/>
  <c r="L142" i="33" s="1"/>
  <c r="I142" i="33"/>
  <c r="H142" i="33"/>
  <c r="F142" i="33"/>
  <c r="E142" i="33"/>
  <c r="O141" i="33"/>
  <c r="N141" i="33"/>
  <c r="K141" i="33"/>
  <c r="L141" i="33" s="1"/>
  <c r="I141" i="33"/>
  <c r="H141" i="33"/>
  <c r="F141" i="33"/>
  <c r="E141" i="33"/>
  <c r="O140" i="33"/>
  <c r="N140" i="33"/>
  <c r="K140" i="33"/>
  <c r="L140" i="33" s="1"/>
  <c r="I140" i="33"/>
  <c r="H140" i="33"/>
  <c r="F140" i="33"/>
  <c r="E140" i="33"/>
  <c r="N139" i="33"/>
  <c r="O139" i="33" s="1"/>
  <c r="K139" i="33"/>
  <c r="L139" i="33" s="1"/>
  <c r="H139" i="33"/>
  <c r="I139" i="33" s="1"/>
  <c r="F139" i="33"/>
  <c r="E139" i="33"/>
  <c r="O138" i="33"/>
  <c r="N138" i="33"/>
  <c r="K138" i="33"/>
  <c r="L138" i="33" s="1"/>
  <c r="H138" i="33"/>
  <c r="I138" i="33" s="1"/>
  <c r="F138" i="33"/>
  <c r="E138" i="33"/>
  <c r="N137" i="33"/>
  <c r="O137" i="33" s="1"/>
  <c r="K137" i="33"/>
  <c r="L137" i="33" s="1"/>
  <c r="H137" i="33"/>
  <c r="I137" i="33" s="1"/>
  <c r="F137" i="33"/>
  <c r="E137" i="33"/>
  <c r="O136" i="33"/>
  <c r="N136" i="33"/>
  <c r="L136" i="33"/>
  <c r="K136" i="33"/>
  <c r="H136" i="33"/>
  <c r="I136" i="33" s="1"/>
  <c r="F136" i="33"/>
  <c r="E136" i="33"/>
  <c r="O135" i="33"/>
  <c r="N135" i="33"/>
  <c r="K135" i="33"/>
  <c r="L135" i="33" s="1"/>
  <c r="H135" i="33"/>
  <c r="I135" i="33" s="1"/>
  <c r="F135" i="33"/>
  <c r="E135" i="33"/>
  <c r="N134" i="33"/>
  <c r="O134" i="33" s="1"/>
  <c r="K134" i="33"/>
  <c r="L134" i="33" s="1"/>
  <c r="H134" i="33"/>
  <c r="I134" i="33" s="1"/>
  <c r="F134" i="33"/>
  <c r="E134" i="33"/>
  <c r="O133" i="33"/>
  <c r="N133" i="33"/>
  <c r="K133" i="33"/>
  <c r="L133" i="33" s="1"/>
  <c r="H133" i="33"/>
  <c r="I133" i="33" s="1"/>
  <c r="F133" i="33"/>
  <c r="E133" i="33"/>
  <c r="N132" i="33"/>
  <c r="O132" i="33" s="1"/>
  <c r="L132" i="33"/>
  <c r="K132" i="33"/>
  <c r="H132" i="33"/>
  <c r="I132" i="33" s="1"/>
  <c r="F132" i="33"/>
  <c r="E132" i="33"/>
  <c r="O131" i="33"/>
  <c r="N131" i="33"/>
  <c r="K131" i="33"/>
  <c r="L131" i="33" s="1"/>
  <c r="H131" i="33"/>
  <c r="I131" i="33" s="1"/>
  <c r="F131" i="33"/>
  <c r="E131" i="33"/>
  <c r="N130" i="33"/>
  <c r="O130" i="33" s="1"/>
  <c r="K130" i="33"/>
  <c r="L130" i="33" s="1"/>
  <c r="H130" i="33"/>
  <c r="I130" i="33" s="1"/>
  <c r="F130" i="33"/>
  <c r="E130" i="33"/>
  <c r="O129" i="33"/>
  <c r="N129" i="33"/>
  <c r="K129" i="33"/>
  <c r="L129" i="33" s="1"/>
  <c r="H129" i="33"/>
  <c r="I129" i="33" s="1"/>
  <c r="F129" i="33"/>
  <c r="E129" i="33"/>
  <c r="N128" i="33"/>
  <c r="O128" i="33" s="1"/>
  <c r="L128" i="33"/>
  <c r="K128" i="33"/>
  <c r="H128" i="33"/>
  <c r="I128" i="33" s="1"/>
  <c r="F128" i="33"/>
  <c r="E128" i="33"/>
  <c r="N127" i="33"/>
  <c r="O127" i="33" s="1"/>
  <c r="K127" i="33"/>
  <c r="L127" i="33" s="1"/>
  <c r="H127" i="33"/>
  <c r="I127" i="33" s="1"/>
  <c r="F127" i="33"/>
  <c r="E127" i="33"/>
  <c r="O126" i="33"/>
  <c r="N126" i="33"/>
  <c r="K126" i="33"/>
  <c r="L126" i="33" s="1"/>
  <c r="H126" i="33"/>
  <c r="I126" i="33" s="1"/>
  <c r="F126" i="33"/>
  <c r="E126" i="33"/>
  <c r="N125" i="33"/>
  <c r="K125" i="33"/>
  <c r="H125" i="33"/>
  <c r="H145" i="33" s="1"/>
  <c r="F125" i="33"/>
  <c r="F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L117" i="33"/>
  <c r="K117" i="33"/>
  <c r="H117" i="33"/>
  <c r="I117" i="33" s="1"/>
  <c r="F117" i="33"/>
  <c r="E117" i="33"/>
  <c r="N116" i="33"/>
  <c r="O116" i="33" s="1"/>
  <c r="K116" i="33"/>
  <c r="L116" i="33" s="1"/>
  <c r="H116" i="33"/>
  <c r="I116" i="33" s="1"/>
  <c r="F116" i="33"/>
  <c r="E116" i="33"/>
  <c r="N115" i="33"/>
  <c r="O115" i="33" s="1"/>
  <c r="K115" i="33"/>
  <c r="L115" i="33" s="1"/>
  <c r="H115" i="33"/>
  <c r="I115" i="33" s="1"/>
  <c r="F115" i="33"/>
  <c r="E115" i="33"/>
  <c r="N114" i="33"/>
  <c r="O114" i="33" s="1"/>
  <c r="K114" i="33"/>
  <c r="L114" i="33" s="1"/>
  <c r="H114" i="33"/>
  <c r="I114" i="33" s="1"/>
  <c r="F114" i="33"/>
  <c r="E114" i="33"/>
  <c r="N113" i="33"/>
  <c r="O113" i="33" s="1"/>
  <c r="L113" i="33"/>
  <c r="K113" i="33"/>
  <c r="H113" i="33"/>
  <c r="I113" i="33" s="1"/>
  <c r="F113" i="33"/>
  <c r="E113" i="33"/>
  <c r="O112" i="33"/>
  <c r="N112" i="33"/>
  <c r="K112" i="33"/>
  <c r="L112" i="33" s="1"/>
  <c r="H112" i="33"/>
  <c r="I112" i="33" s="1"/>
  <c r="F112" i="33"/>
  <c r="E112" i="33"/>
  <c r="N111" i="33"/>
  <c r="O111" i="33" s="1"/>
  <c r="K111" i="33"/>
  <c r="L111" i="33" s="1"/>
  <c r="H111" i="33"/>
  <c r="I111" i="33" s="1"/>
  <c r="F111" i="33"/>
  <c r="E111" i="33"/>
  <c r="O110" i="33"/>
  <c r="N110" i="33"/>
  <c r="K110" i="33"/>
  <c r="L110" i="33" s="1"/>
  <c r="H110" i="33"/>
  <c r="I110" i="33" s="1"/>
  <c r="F110" i="33"/>
  <c r="E110" i="33"/>
  <c r="N109" i="33"/>
  <c r="O109" i="33" s="1"/>
  <c r="L109" i="33"/>
  <c r="K109" i="33"/>
  <c r="H109" i="33"/>
  <c r="I109" i="33" s="1"/>
  <c r="F109" i="33"/>
  <c r="E109" i="33"/>
  <c r="N108" i="33"/>
  <c r="O108" i="33" s="1"/>
  <c r="K108" i="33"/>
  <c r="L108" i="33" s="1"/>
  <c r="H108" i="33"/>
  <c r="I108" i="33" s="1"/>
  <c r="F108" i="33"/>
  <c r="E108" i="33"/>
  <c r="N107" i="33"/>
  <c r="O107" i="33" s="1"/>
  <c r="K107" i="33"/>
  <c r="L107" i="33" s="1"/>
  <c r="H107" i="33"/>
  <c r="I107" i="33" s="1"/>
  <c r="F107" i="33"/>
  <c r="E107" i="33"/>
  <c r="N106" i="33"/>
  <c r="O106" i="33" s="1"/>
  <c r="K106" i="33"/>
  <c r="L106" i="33" s="1"/>
  <c r="H106" i="33"/>
  <c r="I106" i="33" s="1"/>
  <c r="F106" i="33"/>
  <c r="E106" i="33"/>
  <c r="N105" i="33"/>
  <c r="O105" i="33" s="1"/>
  <c r="L105" i="33"/>
  <c r="K105" i="33"/>
  <c r="H105" i="33"/>
  <c r="I105" i="33" s="1"/>
  <c r="F105" i="33"/>
  <c r="E105" i="33"/>
  <c r="N104" i="33"/>
  <c r="O104" i="33" s="1"/>
  <c r="K104" i="33"/>
  <c r="L104" i="33" s="1"/>
  <c r="H104" i="33"/>
  <c r="I104" i="33" s="1"/>
  <c r="F104" i="33"/>
  <c r="E104" i="33"/>
  <c r="O103" i="33"/>
  <c r="N103" i="33"/>
  <c r="K103" i="33"/>
  <c r="L103" i="33" s="1"/>
  <c r="H103" i="33"/>
  <c r="I103" i="33" s="1"/>
  <c r="F103" i="33"/>
  <c r="E103" i="33"/>
  <c r="N102" i="33"/>
  <c r="O102" i="33" s="1"/>
  <c r="K102" i="33"/>
  <c r="L102" i="33" s="1"/>
  <c r="H102" i="33"/>
  <c r="I102" i="33" s="1"/>
  <c r="F102" i="33"/>
  <c r="E102" i="33"/>
  <c r="O101" i="33"/>
  <c r="N101" i="33"/>
  <c r="L101" i="33"/>
  <c r="K101" i="33"/>
  <c r="H101" i="33"/>
  <c r="I101" i="33" s="1"/>
  <c r="F101" i="33"/>
  <c r="E101" i="33"/>
  <c r="N100" i="33"/>
  <c r="O100" i="33" s="1"/>
  <c r="K100" i="33"/>
  <c r="L100" i="33" s="1"/>
  <c r="H100" i="33"/>
  <c r="I100" i="33" s="1"/>
  <c r="E100" i="33"/>
  <c r="F100" i="33" s="1"/>
  <c r="O99" i="33"/>
  <c r="N99" i="33"/>
  <c r="K99" i="33"/>
  <c r="L99" i="33" s="1"/>
  <c r="H99" i="33"/>
  <c r="I99" i="33" s="1"/>
  <c r="F99" i="33"/>
  <c r="E99" i="33"/>
  <c r="N98" i="33"/>
  <c r="L98" i="33"/>
  <c r="K98" i="33"/>
  <c r="H98" i="33"/>
  <c r="F98" i="33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O36" i="33" s="1"/>
  <c r="K90" i="33"/>
  <c r="K36" i="33" s="1"/>
  <c r="H90" i="33"/>
  <c r="I90" i="33" s="1"/>
  <c r="I36" i="33" s="1"/>
  <c r="E90" i="33"/>
  <c r="F90" i="33" s="1"/>
  <c r="F36" i="33" s="1"/>
  <c r="N89" i="33"/>
  <c r="O89" i="33" s="1"/>
  <c r="O35" i="33" s="1"/>
  <c r="K89" i="33"/>
  <c r="L89" i="33" s="1"/>
  <c r="L35" i="33" s="1"/>
  <c r="I89" i="33"/>
  <c r="H89" i="33"/>
  <c r="E89" i="33"/>
  <c r="F89" i="33" s="1"/>
  <c r="F35" i="33" s="1"/>
  <c r="O88" i="33"/>
  <c r="O34" i="33" s="1"/>
  <c r="N88" i="33"/>
  <c r="L88" i="33"/>
  <c r="L34" i="33" s="1"/>
  <c r="K88" i="33"/>
  <c r="H88" i="33"/>
  <c r="H34" i="33" s="1"/>
  <c r="E88" i="33"/>
  <c r="F88" i="33" s="1"/>
  <c r="F34" i="33" s="1"/>
  <c r="O87" i="33"/>
  <c r="N87" i="33"/>
  <c r="L87" i="33"/>
  <c r="K87" i="33"/>
  <c r="H87" i="33"/>
  <c r="I87" i="33" s="1"/>
  <c r="I33" i="33" s="1"/>
  <c r="E87" i="33"/>
  <c r="F87" i="33" s="1"/>
  <c r="F33" i="33" s="1"/>
  <c r="O86" i="33"/>
  <c r="N86" i="33"/>
  <c r="L86" i="33"/>
  <c r="K86" i="33"/>
  <c r="H86" i="33"/>
  <c r="I86" i="33" s="1"/>
  <c r="I32" i="33" s="1"/>
  <c r="E86" i="33"/>
  <c r="F86" i="33" s="1"/>
  <c r="F32" i="33" s="1"/>
  <c r="O85" i="33"/>
  <c r="N85" i="33"/>
  <c r="L85" i="33"/>
  <c r="K85" i="33"/>
  <c r="I85" i="33"/>
  <c r="H85" i="33"/>
  <c r="E85" i="33"/>
  <c r="F85" i="33" s="1"/>
  <c r="F31" i="33" s="1"/>
  <c r="O84" i="33"/>
  <c r="N84" i="33"/>
  <c r="K84" i="33"/>
  <c r="L84" i="33" s="1"/>
  <c r="L30" i="33" s="1"/>
  <c r="H84" i="33"/>
  <c r="H30" i="33" s="1"/>
  <c r="E84" i="33"/>
  <c r="F84" i="33" s="1"/>
  <c r="F30" i="33" s="1"/>
  <c r="N83" i="33"/>
  <c r="O83" i="33" s="1"/>
  <c r="O29" i="33" s="1"/>
  <c r="K83" i="33"/>
  <c r="L83" i="33" s="1"/>
  <c r="L29" i="33" s="1"/>
  <c r="I83" i="33"/>
  <c r="H83" i="33"/>
  <c r="E83" i="33"/>
  <c r="F83" i="33" s="1"/>
  <c r="F29" i="33" s="1"/>
  <c r="O82" i="33"/>
  <c r="N82" i="33"/>
  <c r="L82" i="33"/>
  <c r="K82" i="33"/>
  <c r="H82" i="33"/>
  <c r="I82" i="33" s="1"/>
  <c r="I28" i="33" s="1"/>
  <c r="E82" i="33"/>
  <c r="F82" i="33" s="1"/>
  <c r="F28" i="33" s="1"/>
  <c r="N81" i="33"/>
  <c r="O81" i="33" s="1"/>
  <c r="O27" i="33" s="1"/>
  <c r="L81" i="33"/>
  <c r="K81" i="33"/>
  <c r="I81" i="33"/>
  <c r="H81" i="33"/>
  <c r="E81" i="33"/>
  <c r="F81" i="33" s="1"/>
  <c r="F27" i="33" s="1"/>
  <c r="O80" i="33"/>
  <c r="N80" i="33"/>
  <c r="K80" i="33"/>
  <c r="L80" i="33" s="1"/>
  <c r="L26" i="33" s="1"/>
  <c r="H80" i="33"/>
  <c r="H26" i="33" s="1"/>
  <c r="E80" i="33"/>
  <c r="F80" i="33" s="1"/>
  <c r="F26" i="33" s="1"/>
  <c r="N79" i="33"/>
  <c r="O79" i="33" s="1"/>
  <c r="O25" i="33" s="1"/>
  <c r="L79" i="33"/>
  <c r="K79" i="33"/>
  <c r="I79" i="33"/>
  <c r="H79" i="33"/>
  <c r="E79" i="33"/>
  <c r="F79" i="33" s="1"/>
  <c r="F25" i="33" s="1"/>
  <c r="O78" i="33"/>
  <c r="N78" i="33"/>
  <c r="L78" i="33"/>
  <c r="K78" i="33"/>
  <c r="I78" i="33"/>
  <c r="H78" i="33"/>
  <c r="E78" i="33"/>
  <c r="F78" i="33" s="1"/>
  <c r="F24" i="33" s="1"/>
  <c r="O77" i="33"/>
  <c r="N77" i="33"/>
  <c r="K77" i="33"/>
  <c r="L77" i="33" s="1"/>
  <c r="L23" i="33" s="1"/>
  <c r="I77" i="33"/>
  <c r="H77" i="33"/>
  <c r="E77" i="33"/>
  <c r="F77" i="33" s="1"/>
  <c r="F23" i="33" s="1"/>
  <c r="N76" i="33"/>
  <c r="O76" i="33" s="1"/>
  <c r="O22" i="33" s="1"/>
  <c r="L76" i="33"/>
  <c r="K76" i="33"/>
  <c r="H76" i="33"/>
  <c r="H22" i="33" s="1"/>
  <c r="E76" i="33"/>
  <c r="F76" i="33" s="1"/>
  <c r="F22" i="33" s="1"/>
  <c r="O75" i="33"/>
  <c r="N75" i="33"/>
  <c r="L75" i="33"/>
  <c r="K75" i="33"/>
  <c r="I75" i="33"/>
  <c r="H75" i="33"/>
  <c r="E75" i="33"/>
  <c r="F75" i="33" s="1"/>
  <c r="F21" i="33" s="1"/>
  <c r="N74" i="33"/>
  <c r="O74" i="33" s="1"/>
  <c r="O20" i="33" s="1"/>
  <c r="K74" i="33"/>
  <c r="L74" i="33" s="1"/>
  <c r="L20" i="33" s="1"/>
  <c r="I74" i="33"/>
  <c r="H74" i="33"/>
  <c r="E74" i="33"/>
  <c r="F74" i="33" s="1"/>
  <c r="F20" i="33" s="1"/>
  <c r="O73" i="33"/>
  <c r="N73" i="33"/>
  <c r="L73" i="33"/>
  <c r="K73" i="33"/>
  <c r="I73" i="33"/>
  <c r="H73" i="33"/>
  <c r="E73" i="33"/>
  <c r="F73" i="33" s="1"/>
  <c r="F19" i="33" s="1"/>
  <c r="O72" i="33"/>
  <c r="N72" i="33"/>
  <c r="L72" i="33"/>
  <c r="K72" i="33"/>
  <c r="H72" i="33"/>
  <c r="H18" i="33" s="1"/>
  <c r="E72" i="33"/>
  <c r="F72" i="33" s="1"/>
  <c r="F18" i="33" s="1"/>
  <c r="N71" i="33"/>
  <c r="K71" i="33"/>
  <c r="K91" i="33" s="1"/>
  <c r="I71" i="33"/>
  <c r="H71" i="33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O62" i="33"/>
  <c r="N62" i="33"/>
  <c r="K62" i="33"/>
  <c r="L62" i="33" s="1"/>
  <c r="I62" i="33"/>
  <c r="H62" i="33"/>
  <c r="E62" i="33"/>
  <c r="F62" i="33" s="1"/>
  <c r="N61" i="33"/>
  <c r="O61" i="33" s="1"/>
  <c r="K61" i="33"/>
  <c r="L61" i="33" s="1"/>
  <c r="H61" i="33"/>
  <c r="I61" i="33" s="1"/>
  <c r="E61" i="33"/>
  <c r="F61" i="33" s="1"/>
  <c r="N60" i="33"/>
  <c r="O60" i="33" s="1"/>
  <c r="L60" i="33"/>
  <c r="K60" i="33"/>
  <c r="I60" i="33"/>
  <c r="H60" i="33"/>
  <c r="E60" i="33"/>
  <c r="F60" i="33" s="1"/>
  <c r="N59" i="33"/>
  <c r="O59" i="33" s="1"/>
  <c r="K59" i="33"/>
  <c r="L59" i="33" s="1"/>
  <c r="H59" i="33"/>
  <c r="I59" i="33" s="1"/>
  <c r="E59" i="33"/>
  <c r="F59" i="33" s="1"/>
  <c r="N58" i="33"/>
  <c r="O58" i="33" s="1"/>
  <c r="L58" i="33"/>
  <c r="K58" i="33"/>
  <c r="I58" i="33"/>
  <c r="H58" i="33"/>
  <c r="E58" i="33"/>
  <c r="F58" i="33" s="1"/>
  <c r="N57" i="33"/>
  <c r="O57" i="33" s="1"/>
  <c r="L57" i="33"/>
  <c r="K57" i="33"/>
  <c r="H57" i="33"/>
  <c r="I57" i="33" s="1"/>
  <c r="E57" i="33"/>
  <c r="F57" i="33" s="1"/>
  <c r="O56" i="33"/>
  <c r="N56" i="33"/>
  <c r="K56" i="33"/>
  <c r="L56" i="33" s="1"/>
  <c r="I56" i="33"/>
  <c r="H56" i="33"/>
  <c r="E56" i="33"/>
  <c r="F56" i="33" s="1"/>
  <c r="N55" i="33"/>
  <c r="O55" i="33" s="1"/>
  <c r="L55" i="33"/>
  <c r="K55" i="33"/>
  <c r="H55" i="33"/>
  <c r="I55" i="33" s="1"/>
  <c r="E55" i="33"/>
  <c r="F55" i="33" s="1"/>
  <c r="O54" i="33"/>
  <c r="N54" i="33"/>
  <c r="K54" i="33"/>
  <c r="L54" i="33" s="1"/>
  <c r="I54" i="33"/>
  <c r="H54" i="33"/>
  <c r="E54" i="33"/>
  <c r="F54" i="33" s="1"/>
  <c r="N53" i="33"/>
  <c r="O53" i="33" s="1"/>
  <c r="K53" i="33"/>
  <c r="L53" i="33" s="1"/>
  <c r="H53" i="33"/>
  <c r="I53" i="33" s="1"/>
  <c r="E53" i="33"/>
  <c r="F53" i="33" s="1"/>
  <c r="N52" i="33"/>
  <c r="O52" i="33" s="1"/>
  <c r="L52" i="33"/>
  <c r="K52" i="33"/>
  <c r="I52" i="33"/>
  <c r="H52" i="33"/>
  <c r="E52" i="33"/>
  <c r="F52" i="33" s="1"/>
  <c r="N51" i="33"/>
  <c r="O51" i="33" s="1"/>
  <c r="K51" i="33"/>
  <c r="L51" i="33" s="1"/>
  <c r="H51" i="33"/>
  <c r="I51" i="33" s="1"/>
  <c r="E51" i="33"/>
  <c r="F51" i="33" s="1"/>
  <c r="N50" i="33"/>
  <c r="O50" i="33" s="1"/>
  <c r="L50" i="33"/>
  <c r="K50" i="33"/>
  <c r="I50" i="33"/>
  <c r="H50" i="33"/>
  <c r="E50" i="33"/>
  <c r="F50" i="33" s="1"/>
  <c r="N49" i="33"/>
  <c r="O49" i="33" s="1"/>
  <c r="L49" i="33"/>
  <c r="K49" i="33"/>
  <c r="H49" i="33"/>
  <c r="I49" i="33" s="1"/>
  <c r="E49" i="33"/>
  <c r="F49" i="33" s="1"/>
  <c r="O48" i="33"/>
  <c r="N48" i="33"/>
  <c r="K48" i="33"/>
  <c r="L48" i="33" s="1"/>
  <c r="I48" i="33"/>
  <c r="H48" i="33"/>
  <c r="E48" i="33"/>
  <c r="F48" i="33" s="1"/>
  <c r="N47" i="33"/>
  <c r="O47" i="33" s="1"/>
  <c r="L47" i="33"/>
  <c r="K47" i="33"/>
  <c r="H47" i="33"/>
  <c r="I47" i="33" s="1"/>
  <c r="E47" i="33"/>
  <c r="F47" i="33" s="1"/>
  <c r="O46" i="33"/>
  <c r="N46" i="33"/>
  <c r="K46" i="33"/>
  <c r="L46" i="33" s="1"/>
  <c r="I46" i="33"/>
  <c r="H46" i="33"/>
  <c r="E46" i="33"/>
  <c r="F46" i="33" s="1"/>
  <c r="N45" i="33"/>
  <c r="O45" i="33" s="1"/>
  <c r="K45" i="33"/>
  <c r="L45" i="33" s="1"/>
  <c r="H45" i="33"/>
  <c r="I45" i="33" s="1"/>
  <c r="E45" i="33"/>
  <c r="F45" i="33" s="1"/>
  <c r="N44" i="33"/>
  <c r="N64" i="33" s="1"/>
  <c r="L44" i="33"/>
  <c r="K44" i="33"/>
  <c r="I44" i="33"/>
  <c r="H44" i="33"/>
  <c r="E44" i="33"/>
  <c r="E64" i="33" s="1"/>
  <c r="M42" i="33"/>
  <c r="J42" i="33"/>
  <c r="G42" i="33"/>
  <c r="D42" i="33"/>
  <c r="B42" i="33"/>
  <c r="M41" i="33"/>
  <c r="G41" i="33"/>
  <c r="N36" i="33"/>
  <c r="M36" i="33"/>
  <c r="J36" i="33"/>
  <c r="H36" i="33"/>
  <c r="G36" i="33"/>
  <c r="E36" i="33"/>
  <c r="D36" i="33"/>
  <c r="C36" i="33"/>
  <c r="B36" i="33"/>
  <c r="N35" i="33"/>
  <c r="M35" i="33"/>
  <c r="K35" i="33"/>
  <c r="J35" i="33"/>
  <c r="I35" i="33"/>
  <c r="H35" i="33"/>
  <c r="G35" i="33"/>
  <c r="E35" i="33"/>
  <c r="D35" i="33"/>
  <c r="C35" i="33"/>
  <c r="B35" i="33"/>
  <c r="N34" i="33"/>
  <c r="M34" i="33"/>
  <c r="K34" i="33"/>
  <c r="J34" i="33"/>
  <c r="G34" i="33"/>
  <c r="E34" i="33"/>
  <c r="D34" i="33"/>
  <c r="C34" i="33"/>
  <c r="B34" i="33"/>
  <c r="O33" i="33"/>
  <c r="N33" i="33"/>
  <c r="M33" i="33"/>
  <c r="L33" i="33"/>
  <c r="K33" i="33"/>
  <c r="J33" i="33"/>
  <c r="H33" i="33"/>
  <c r="G33" i="33"/>
  <c r="E33" i="33"/>
  <c r="D33" i="33"/>
  <c r="C33" i="33"/>
  <c r="B33" i="33"/>
  <c r="O32" i="33"/>
  <c r="N32" i="33"/>
  <c r="M32" i="33"/>
  <c r="L32" i="33"/>
  <c r="K32" i="33"/>
  <c r="J32" i="33"/>
  <c r="H32" i="33"/>
  <c r="G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E31" i="33"/>
  <c r="D31" i="33"/>
  <c r="C31" i="33"/>
  <c r="B31" i="33"/>
  <c r="O30" i="33"/>
  <c r="N30" i="33"/>
  <c r="M30" i="33"/>
  <c r="K30" i="33"/>
  <c r="J30" i="33"/>
  <c r="G30" i="33"/>
  <c r="E30" i="33"/>
  <c r="D30" i="33"/>
  <c r="C30" i="33"/>
  <c r="B30" i="33"/>
  <c r="N29" i="33"/>
  <c r="M29" i="33"/>
  <c r="K29" i="33"/>
  <c r="J29" i="33"/>
  <c r="I29" i="33"/>
  <c r="H29" i="33"/>
  <c r="G29" i="33"/>
  <c r="E29" i="33"/>
  <c r="D29" i="33"/>
  <c r="C29" i="33"/>
  <c r="B29" i="33"/>
  <c r="O28" i="33"/>
  <c r="N28" i="33"/>
  <c r="M28" i="33"/>
  <c r="L28" i="33"/>
  <c r="K28" i="33"/>
  <c r="J28" i="33"/>
  <c r="H28" i="33"/>
  <c r="G28" i="33"/>
  <c r="E28" i="33"/>
  <c r="D28" i="33"/>
  <c r="C28" i="33"/>
  <c r="B28" i="33"/>
  <c r="N27" i="33"/>
  <c r="M27" i="33"/>
  <c r="L27" i="33"/>
  <c r="K27" i="33"/>
  <c r="J27" i="33"/>
  <c r="I27" i="33"/>
  <c r="H27" i="33"/>
  <c r="G27" i="33"/>
  <c r="E27" i="33"/>
  <c r="D27" i="33"/>
  <c r="C27" i="33"/>
  <c r="B27" i="33"/>
  <c r="O26" i="33"/>
  <c r="N26" i="33"/>
  <c r="M26" i="33"/>
  <c r="K26" i="33"/>
  <c r="J26" i="33"/>
  <c r="G26" i="33"/>
  <c r="E26" i="33"/>
  <c r="D26" i="33"/>
  <c r="C26" i="33"/>
  <c r="B26" i="33"/>
  <c r="N25" i="33"/>
  <c r="M25" i="33"/>
  <c r="L25" i="33"/>
  <c r="K25" i="33"/>
  <c r="J25" i="33"/>
  <c r="I25" i="33"/>
  <c r="H25" i="33"/>
  <c r="G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E24" i="33"/>
  <c r="D24" i="33"/>
  <c r="C24" i="33"/>
  <c r="B24" i="33"/>
  <c r="O23" i="33"/>
  <c r="N23" i="33"/>
  <c r="M23" i="33"/>
  <c r="K23" i="33"/>
  <c r="J23" i="33"/>
  <c r="I23" i="33"/>
  <c r="H23" i="33"/>
  <c r="G23" i="33"/>
  <c r="E23" i="33"/>
  <c r="D23" i="33"/>
  <c r="C23" i="33"/>
  <c r="B23" i="33"/>
  <c r="N22" i="33"/>
  <c r="M22" i="33"/>
  <c r="L22" i="33"/>
  <c r="K22" i="33"/>
  <c r="J22" i="33"/>
  <c r="G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E21" i="33"/>
  <c r="D21" i="33"/>
  <c r="C21" i="33"/>
  <c r="B21" i="33"/>
  <c r="N20" i="33"/>
  <c r="M20" i="33"/>
  <c r="K20" i="33"/>
  <c r="J20" i="33"/>
  <c r="I20" i="33"/>
  <c r="H20" i="33"/>
  <c r="G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E19" i="33"/>
  <c r="D19" i="33"/>
  <c r="C19" i="33"/>
  <c r="B19" i="33"/>
  <c r="O18" i="33"/>
  <c r="N18" i="33"/>
  <c r="M18" i="33"/>
  <c r="L18" i="33"/>
  <c r="K18" i="33"/>
  <c r="J18" i="33"/>
  <c r="G18" i="33"/>
  <c r="E18" i="33"/>
  <c r="D18" i="33"/>
  <c r="C18" i="33"/>
  <c r="B18" i="33"/>
  <c r="N17" i="33"/>
  <c r="M17" i="33"/>
  <c r="K17" i="33"/>
  <c r="J17" i="33"/>
  <c r="I17" i="33"/>
  <c r="H17" i="33"/>
  <c r="G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O198" i="32"/>
  <c r="N198" i="32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O196" i="32"/>
  <c r="N196" i="32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O194" i="32"/>
  <c r="N194" i="32"/>
  <c r="L194" i="32"/>
  <c r="K194" i="32"/>
  <c r="H194" i="32"/>
  <c r="I194" i="32" s="1"/>
  <c r="F194" i="32"/>
  <c r="E194" i="32"/>
  <c r="O193" i="32"/>
  <c r="N193" i="32"/>
  <c r="K193" i="32"/>
  <c r="L193" i="32" s="1"/>
  <c r="H193" i="32"/>
  <c r="I193" i="32" s="1"/>
  <c r="F193" i="32"/>
  <c r="E193" i="32"/>
  <c r="N192" i="32"/>
  <c r="O192" i="32" s="1"/>
  <c r="K192" i="32"/>
  <c r="L192" i="32" s="1"/>
  <c r="H192" i="32"/>
  <c r="I192" i="32" s="1"/>
  <c r="F192" i="32"/>
  <c r="E192" i="32"/>
  <c r="O191" i="32"/>
  <c r="N191" i="32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O184" i="32"/>
  <c r="N184" i="32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O182" i="32"/>
  <c r="N182" i="32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N180" i="32"/>
  <c r="O180" i="32" s="1"/>
  <c r="K180" i="32"/>
  <c r="L180" i="32" s="1"/>
  <c r="H180" i="32"/>
  <c r="I180" i="32" s="1"/>
  <c r="F180" i="32"/>
  <c r="E180" i="32"/>
  <c r="N179" i="32"/>
  <c r="N199" i="32" s="1"/>
  <c r="K179" i="32"/>
  <c r="H179" i="32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E171" i="32"/>
  <c r="F171" i="32" s="1"/>
  <c r="N170" i="32"/>
  <c r="O170" i="32" s="1"/>
  <c r="K170" i="32"/>
  <c r="L170" i="32" s="1"/>
  <c r="H170" i="32"/>
  <c r="I170" i="32" s="1"/>
  <c r="E170" i="32"/>
  <c r="F170" i="32" s="1"/>
  <c r="O169" i="32"/>
  <c r="N169" i="32"/>
  <c r="L169" i="32"/>
  <c r="K169" i="32"/>
  <c r="H169" i="32"/>
  <c r="I169" i="32" s="1"/>
  <c r="E169" i="32"/>
  <c r="F169" i="32" s="1"/>
  <c r="O168" i="32"/>
  <c r="N168" i="32"/>
  <c r="K168" i="32"/>
  <c r="L168" i="32" s="1"/>
  <c r="H168" i="32"/>
  <c r="I168" i="32" s="1"/>
  <c r="E168" i="32"/>
  <c r="F168" i="32" s="1"/>
  <c r="N167" i="32"/>
  <c r="O167" i="32" s="1"/>
  <c r="L167" i="32"/>
  <c r="K167" i="32"/>
  <c r="H167" i="32"/>
  <c r="I167" i="32" s="1"/>
  <c r="E167" i="32"/>
  <c r="F167" i="32" s="1"/>
  <c r="N166" i="32"/>
  <c r="O166" i="32" s="1"/>
  <c r="K166" i="32"/>
  <c r="L166" i="32" s="1"/>
  <c r="H166" i="32"/>
  <c r="I166" i="32" s="1"/>
  <c r="E166" i="32"/>
  <c r="F166" i="32" s="1"/>
  <c r="O165" i="32"/>
  <c r="N165" i="32"/>
  <c r="L165" i="32"/>
  <c r="K165" i="32"/>
  <c r="H165" i="32"/>
  <c r="I165" i="32" s="1"/>
  <c r="E165" i="32"/>
  <c r="F165" i="32" s="1"/>
  <c r="O164" i="32"/>
  <c r="N164" i="32"/>
  <c r="K164" i="32"/>
  <c r="L164" i="32" s="1"/>
  <c r="I164" i="32"/>
  <c r="H164" i="32"/>
  <c r="E164" i="32"/>
  <c r="F164" i="32" s="1"/>
  <c r="O163" i="32"/>
  <c r="N163" i="32"/>
  <c r="K163" i="32"/>
  <c r="L163" i="32" s="1"/>
  <c r="H163" i="32"/>
  <c r="I163" i="32" s="1"/>
  <c r="E163" i="32"/>
  <c r="F163" i="32" s="1"/>
  <c r="N162" i="32"/>
  <c r="O162" i="32" s="1"/>
  <c r="L162" i="32"/>
  <c r="K162" i="32"/>
  <c r="H162" i="32"/>
  <c r="I162" i="32" s="1"/>
  <c r="E162" i="32"/>
  <c r="F162" i="32" s="1"/>
  <c r="N161" i="32"/>
  <c r="O161" i="32" s="1"/>
  <c r="K161" i="32"/>
  <c r="L161" i="32" s="1"/>
  <c r="H161" i="32"/>
  <c r="I161" i="32" s="1"/>
  <c r="E161" i="32"/>
  <c r="F161" i="32" s="1"/>
  <c r="O160" i="32"/>
  <c r="N160" i="32"/>
  <c r="L160" i="32"/>
  <c r="K160" i="32"/>
  <c r="H160" i="32"/>
  <c r="I160" i="32" s="1"/>
  <c r="E160" i="32"/>
  <c r="F160" i="32" s="1"/>
  <c r="O159" i="32"/>
  <c r="N159" i="32"/>
  <c r="L159" i="32"/>
  <c r="K159" i="32"/>
  <c r="H159" i="32"/>
  <c r="I159" i="32" s="1"/>
  <c r="E159" i="32"/>
  <c r="F159" i="32" s="1"/>
  <c r="O158" i="32"/>
  <c r="N158" i="32"/>
  <c r="L158" i="32"/>
  <c r="K158" i="32"/>
  <c r="H158" i="32"/>
  <c r="I158" i="32" s="1"/>
  <c r="E158" i="32"/>
  <c r="F158" i="32" s="1"/>
  <c r="O157" i="32"/>
  <c r="N157" i="32"/>
  <c r="K157" i="32"/>
  <c r="L157" i="32" s="1"/>
  <c r="H157" i="32"/>
  <c r="I157" i="32" s="1"/>
  <c r="E157" i="32"/>
  <c r="F157" i="32" s="1"/>
  <c r="N156" i="32"/>
  <c r="O156" i="32" s="1"/>
  <c r="L156" i="32"/>
  <c r="K156" i="32"/>
  <c r="I156" i="32"/>
  <c r="H156" i="32"/>
  <c r="E156" i="32"/>
  <c r="F156" i="32" s="1"/>
  <c r="O155" i="32"/>
  <c r="N155" i="32"/>
  <c r="K155" i="32"/>
  <c r="L155" i="32" s="1"/>
  <c r="H155" i="32"/>
  <c r="I155" i="32" s="1"/>
  <c r="E155" i="32"/>
  <c r="F155" i="32" s="1"/>
  <c r="N154" i="32"/>
  <c r="O154" i="32" s="1"/>
  <c r="L154" i="32"/>
  <c r="K154" i="32"/>
  <c r="H154" i="32"/>
  <c r="I154" i="32" s="1"/>
  <c r="E154" i="32"/>
  <c r="F154" i="32" s="1"/>
  <c r="N153" i="32"/>
  <c r="O153" i="32" s="1"/>
  <c r="K153" i="32"/>
  <c r="L153" i="32" s="1"/>
  <c r="H153" i="32"/>
  <c r="I153" i="32" s="1"/>
  <c r="E153" i="32"/>
  <c r="F153" i="32" s="1"/>
  <c r="O152" i="32"/>
  <c r="N152" i="32"/>
  <c r="L152" i="32"/>
  <c r="K152" i="32"/>
  <c r="K172" i="32" s="1"/>
  <c r="H152" i="32"/>
  <c r="I15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F144" i="32"/>
  <c r="E144" i="32"/>
  <c r="N143" i="32"/>
  <c r="O143" i="32" s="1"/>
  <c r="K143" i="32"/>
  <c r="L143" i="32" s="1"/>
  <c r="H143" i="32"/>
  <c r="I143" i="32" s="1"/>
  <c r="E143" i="32"/>
  <c r="F143" i="32" s="1"/>
  <c r="N142" i="32"/>
  <c r="O142" i="32" s="1"/>
  <c r="K142" i="32"/>
  <c r="L142" i="32" s="1"/>
  <c r="H142" i="32"/>
  <c r="I142" i="32" s="1"/>
  <c r="E142" i="32"/>
  <c r="F142" i="32" s="1"/>
  <c r="O141" i="32"/>
  <c r="N141" i="32"/>
  <c r="K141" i="32"/>
  <c r="L141" i="32" s="1"/>
  <c r="H141" i="32"/>
  <c r="I141" i="32" s="1"/>
  <c r="E141" i="32"/>
  <c r="F141" i="32" s="1"/>
  <c r="O140" i="32"/>
  <c r="N140" i="32"/>
  <c r="K140" i="32"/>
  <c r="L140" i="32" s="1"/>
  <c r="H140" i="32"/>
  <c r="I140" i="32" s="1"/>
  <c r="E140" i="32"/>
  <c r="F140" i="32" s="1"/>
  <c r="O139" i="32"/>
  <c r="N139" i="32"/>
  <c r="K139" i="32"/>
  <c r="L139" i="32" s="1"/>
  <c r="H139" i="32"/>
  <c r="I139" i="32" s="1"/>
  <c r="E139" i="32"/>
  <c r="F139" i="32" s="1"/>
  <c r="N138" i="32"/>
  <c r="O138" i="32" s="1"/>
  <c r="K138" i="32"/>
  <c r="L138" i="32" s="1"/>
  <c r="H138" i="32"/>
  <c r="I138" i="32" s="1"/>
  <c r="E138" i="32"/>
  <c r="F138" i="32" s="1"/>
  <c r="O137" i="32"/>
  <c r="N137" i="32"/>
  <c r="K137" i="32"/>
  <c r="L137" i="32" s="1"/>
  <c r="H137" i="32"/>
  <c r="I137" i="32" s="1"/>
  <c r="E137" i="32"/>
  <c r="F137" i="32" s="1"/>
  <c r="O136" i="32"/>
  <c r="N136" i="32"/>
  <c r="K136" i="32"/>
  <c r="L136" i="32" s="1"/>
  <c r="I136" i="32"/>
  <c r="H136" i="32"/>
  <c r="E136" i="32"/>
  <c r="F136" i="32" s="1"/>
  <c r="N135" i="32"/>
  <c r="O135" i="32" s="1"/>
  <c r="L135" i="32"/>
  <c r="K135" i="32"/>
  <c r="H135" i="32"/>
  <c r="I135" i="32" s="1"/>
  <c r="E135" i="32"/>
  <c r="F135" i="32" s="1"/>
  <c r="O134" i="32"/>
  <c r="N134" i="32"/>
  <c r="K134" i="32"/>
  <c r="L134" i="32" s="1"/>
  <c r="H134" i="32"/>
  <c r="I134" i="32" s="1"/>
  <c r="E134" i="32"/>
  <c r="F134" i="32" s="1"/>
  <c r="O133" i="32"/>
  <c r="N133" i="32"/>
  <c r="L133" i="32"/>
  <c r="K133" i="32"/>
  <c r="H133" i="32"/>
  <c r="I133" i="32" s="1"/>
  <c r="E133" i="32"/>
  <c r="F133" i="32" s="1"/>
  <c r="O132" i="32"/>
  <c r="N132" i="32"/>
  <c r="K132" i="32"/>
  <c r="L132" i="32" s="1"/>
  <c r="I132" i="32"/>
  <c r="H132" i="32"/>
  <c r="E132" i="32"/>
  <c r="F132" i="32" s="1"/>
  <c r="O131" i="32"/>
  <c r="N131" i="32"/>
  <c r="K131" i="32"/>
  <c r="L131" i="32" s="1"/>
  <c r="H131" i="32"/>
  <c r="I131" i="32" s="1"/>
  <c r="E131" i="32"/>
  <c r="F131" i="32" s="1"/>
  <c r="N130" i="32"/>
  <c r="O130" i="32" s="1"/>
  <c r="K130" i="32"/>
  <c r="L130" i="32" s="1"/>
  <c r="H130" i="32"/>
  <c r="I130" i="32" s="1"/>
  <c r="E130" i="32"/>
  <c r="F130" i="32" s="1"/>
  <c r="O129" i="32"/>
  <c r="N129" i="32"/>
  <c r="K129" i="32"/>
  <c r="L129" i="32" s="1"/>
  <c r="H129" i="32"/>
  <c r="I129" i="32" s="1"/>
  <c r="E129" i="32"/>
  <c r="F129" i="32" s="1"/>
  <c r="O128" i="32"/>
  <c r="N128" i="32"/>
  <c r="K128" i="32"/>
  <c r="L128" i="32" s="1"/>
  <c r="I128" i="32"/>
  <c r="H128" i="32"/>
  <c r="E128" i="32"/>
  <c r="F128" i="32" s="1"/>
  <c r="N127" i="32"/>
  <c r="O127" i="32" s="1"/>
  <c r="K127" i="32"/>
  <c r="L127" i="32" s="1"/>
  <c r="H127" i="32"/>
  <c r="I127" i="32" s="1"/>
  <c r="E127" i="32"/>
  <c r="F127" i="32" s="1"/>
  <c r="O126" i="32"/>
  <c r="N126" i="32"/>
  <c r="L126" i="32"/>
  <c r="K126" i="32"/>
  <c r="H126" i="32"/>
  <c r="I126" i="32" s="1"/>
  <c r="E126" i="32"/>
  <c r="F126" i="32" s="1"/>
  <c r="N125" i="32"/>
  <c r="K125" i="32"/>
  <c r="H125" i="32"/>
  <c r="E125" i="32"/>
  <c r="E145" i="32" s="1"/>
  <c r="M123" i="32"/>
  <c r="J123" i="32"/>
  <c r="G123" i="32"/>
  <c r="D123" i="32"/>
  <c r="B123" i="32"/>
  <c r="M122" i="32"/>
  <c r="G122" i="32"/>
  <c r="E118" i="32"/>
  <c r="B118" i="32"/>
  <c r="O117" i="32"/>
  <c r="N117" i="32"/>
  <c r="L117" i="32"/>
  <c r="K117" i="32"/>
  <c r="H117" i="32"/>
  <c r="I117" i="32" s="1"/>
  <c r="I35" i="32" s="1"/>
  <c r="F117" i="32"/>
  <c r="F35" i="32" s="1"/>
  <c r="E117" i="32"/>
  <c r="N116" i="32"/>
  <c r="O116" i="32" s="1"/>
  <c r="L116" i="32"/>
  <c r="K116" i="32"/>
  <c r="I116" i="32"/>
  <c r="H116" i="32"/>
  <c r="F116" i="32"/>
  <c r="E116" i="32"/>
  <c r="N115" i="32"/>
  <c r="O115" i="32" s="1"/>
  <c r="O27" i="32" s="1"/>
  <c r="L115" i="32"/>
  <c r="K115" i="32"/>
  <c r="I115" i="32"/>
  <c r="H115" i="32"/>
  <c r="F115" i="32"/>
  <c r="E115" i="32"/>
  <c r="N114" i="32"/>
  <c r="O114" i="32" s="1"/>
  <c r="O28" i="32" s="1"/>
  <c r="L114" i="32"/>
  <c r="K114" i="32"/>
  <c r="I114" i="32"/>
  <c r="H114" i="32"/>
  <c r="F114" i="32"/>
  <c r="E114" i="32"/>
  <c r="N113" i="32"/>
  <c r="O113" i="32" s="1"/>
  <c r="L113" i="32"/>
  <c r="K113" i="32"/>
  <c r="H113" i="32"/>
  <c r="I113" i="32" s="1"/>
  <c r="F113" i="32"/>
  <c r="E113" i="32"/>
  <c r="N112" i="32"/>
  <c r="O112" i="32" s="1"/>
  <c r="L112" i="32"/>
  <c r="K112" i="32"/>
  <c r="H112" i="32"/>
  <c r="I112" i="32" s="1"/>
  <c r="F112" i="32"/>
  <c r="E112" i="32"/>
  <c r="O111" i="32"/>
  <c r="N111" i="32"/>
  <c r="K111" i="32"/>
  <c r="L111" i="32" s="1"/>
  <c r="H111" i="32"/>
  <c r="I111" i="32" s="1"/>
  <c r="F111" i="32"/>
  <c r="E111" i="32"/>
  <c r="N110" i="32"/>
  <c r="O110" i="32" s="1"/>
  <c r="L110" i="32"/>
  <c r="K110" i="32"/>
  <c r="H110" i="32"/>
  <c r="I110" i="32" s="1"/>
  <c r="F110" i="32"/>
  <c r="E110" i="32"/>
  <c r="N109" i="32"/>
  <c r="O109" i="32" s="1"/>
  <c r="O31" i="32" s="1"/>
  <c r="L109" i="32"/>
  <c r="K109" i="32"/>
  <c r="H109" i="32"/>
  <c r="I109" i="32" s="1"/>
  <c r="I31" i="32" s="1"/>
  <c r="F109" i="32"/>
  <c r="E109" i="32"/>
  <c r="N108" i="32"/>
  <c r="O108" i="32" s="1"/>
  <c r="O30" i="32" s="1"/>
  <c r="L108" i="32"/>
  <c r="L30" i="32" s="1"/>
  <c r="K108" i="32"/>
  <c r="H108" i="32"/>
  <c r="I108" i="32" s="1"/>
  <c r="I30" i="32" s="1"/>
  <c r="F108" i="32"/>
  <c r="E108" i="32"/>
  <c r="O107" i="32"/>
  <c r="O26" i="32" s="1"/>
  <c r="N107" i="32"/>
  <c r="K107" i="32"/>
  <c r="L107" i="32" s="1"/>
  <c r="L26" i="32" s="1"/>
  <c r="H107" i="32"/>
  <c r="I107" i="32" s="1"/>
  <c r="I26" i="32" s="1"/>
  <c r="F107" i="32"/>
  <c r="E107" i="32"/>
  <c r="O106" i="32"/>
  <c r="O25" i="32" s="1"/>
  <c r="N106" i="32"/>
  <c r="K106" i="32"/>
  <c r="L106" i="32" s="1"/>
  <c r="L25" i="32" s="1"/>
  <c r="H106" i="32"/>
  <c r="I106" i="32" s="1"/>
  <c r="I25" i="32" s="1"/>
  <c r="F106" i="32"/>
  <c r="E106" i="32"/>
  <c r="O105" i="32"/>
  <c r="O24" i="32" s="1"/>
  <c r="N105" i="32"/>
  <c r="L105" i="32"/>
  <c r="K105" i="32"/>
  <c r="H105" i="32"/>
  <c r="I105" i="32" s="1"/>
  <c r="I24" i="32" s="1"/>
  <c r="F105" i="32"/>
  <c r="E105" i="32"/>
  <c r="N104" i="32"/>
  <c r="O104" i="32" s="1"/>
  <c r="O23" i="32" s="1"/>
  <c r="L104" i="32"/>
  <c r="K104" i="32"/>
  <c r="H104" i="32"/>
  <c r="I104" i="32" s="1"/>
  <c r="I23" i="32" s="1"/>
  <c r="F104" i="32"/>
  <c r="E104" i="32"/>
  <c r="O103" i="32"/>
  <c r="N103" i="32"/>
  <c r="K103" i="32"/>
  <c r="L103" i="32" s="1"/>
  <c r="L22" i="32" s="1"/>
  <c r="H103" i="32"/>
  <c r="I103" i="32" s="1"/>
  <c r="I22" i="32" s="1"/>
  <c r="F103" i="32"/>
  <c r="E103" i="32"/>
  <c r="O102" i="32"/>
  <c r="O21" i="32" s="1"/>
  <c r="N102" i="32"/>
  <c r="L102" i="32"/>
  <c r="K102" i="32"/>
  <c r="H102" i="32"/>
  <c r="I102" i="32" s="1"/>
  <c r="I21" i="32" s="1"/>
  <c r="F102" i="32"/>
  <c r="E102" i="32"/>
  <c r="N101" i="32"/>
  <c r="N20" i="32" s="1"/>
  <c r="L101" i="32"/>
  <c r="K101" i="32"/>
  <c r="H101" i="32"/>
  <c r="I101" i="32" s="1"/>
  <c r="I20" i="32" s="1"/>
  <c r="F101" i="32"/>
  <c r="E101" i="32"/>
  <c r="O100" i="32"/>
  <c r="N100" i="32"/>
  <c r="L100" i="32"/>
  <c r="K100" i="32"/>
  <c r="H100" i="32"/>
  <c r="I100" i="32" s="1"/>
  <c r="F100" i="32"/>
  <c r="E100" i="32"/>
  <c r="N99" i="32"/>
  <c r="O99" i="32" s="1"/>
  <c r="O18" i="32" s="1"/>
  <c r="K99" i="32"/>
  <c r="L99" i="32" s="1"/>
  <c r="L18" i="32" s="1"/>
  <c r="H99" i="32"/>
  <c r="I99" i="32" s="1"/>
  <c r="I18" i="32" s="1"/>
  <c r="F99" i="32"/>
  <c r="E99" i="32"/>
  <c r="N98" i="32"/>
  <c r="N118" i="32" s="1"/>
  <c r="K98" i="32"/>
  <c r="K118" i="32" s="1"/>
  <c r="H98" i="32"/>
  <c r="H118" i="32" s="1"/>
  <c r="F98" i="32"/>
  <c r="F118" i="32" s="1"/>
  <c r="E98" i="32"/>
  <c r="M96" i="32"/>
  <c r="J96" i="32"/>
  <c r="G96" i="32"/>
  <c r="D96" i="32"/>
  <c r="B96" i="32"/>
  <c r="M95" i="32"/>
  <c r="G95" i="32"/>
  <c r="B91" i="32"/>
  <c r="O90" i="32"/>
  <c r="N90" i="32"/>
  <c r="L90" i="32"/>
  <c r="K90" i="32"/>
  <c r="H90" i="32"/>
  <c r="I90" i="32" s="1"/>
  <c r="F90" i="32"/>
  <c r="E90" i="32"/>
  <c r="O89" i="32"/>
  <c r="N89" i="32"/>
  <c r="L89" i="32"/>
  <c r="K89" i="32"/>
  <c r="H89" i="32"/>
  <c r="I89" i="32" s="1"/>
  <c r="F89" i="32"/>
  <c r="E89" i="32"/>
  <c r="N88" i="32"/>
  <c r="O88" i="32" s="1"/>
  <c r="K88" i="32"/>
  <c r="L88" i="32" s="1"/>
  <c r="H88" i="32"/>
  <c r="I88" i="32" s="1"/>
  <c r="F88" i="32"/>
  <c r="E88" i="32"/>
  <c r="O87" i="32"/>
  <c r="N87" i="32"/>
  <c r="L87" i="32"/>
  <c r="K87" i="32"/>
  <c r="H87" i="32"/>
  <c r="I87" i="32" s="1"/>
  <c r="F87" i="32"/>
  <c r="E87" i="32"/>
  <c r="O86" i="32"/>
  <c r="N86" i="32"/>
  <c r="L86" i="32"/>
  <c r="K86" i="32"/>
  <c r="H86" i="32"/>
  <c r="I86" i="32" s="1"/>
  <c r="F86" i="32"/>
  <c r="E86" i="32"/>
  <c r="N85" i="32"/>
  <c r="O85" i="32" s="1"/>
  <c r="L85" i="32"/>
  <c r="K85" i="32"/>
  <c r="H85" i="32"/>
  <c r="I85" i="32" s="1"/>
  <c r="F85" i="32"/>
  <c r="E85" i="32"/>
  <c r="N84" i="32"/>
  <c r="O84" i="32" s="1"/>
  <c r="K84" i="32"/>
  <c r="L84" i="32" s="1"/>
  <c r="H84" i="32"/>
  <c r="I84" i="32" s="1"/>
  <c r="F84" i="32"/>
  <c r="E84" i="32"/>
  <c r="O83" i="32"/>
  <c r="N83" i="32"/>
  <c r="L83" i="32"/>
  <c r="K83" i="32"/>
  <c r="H83" i="32"/>
  <c r="I83" i="32" s="1"/>
  <c r="F83" i="32"/>
  <c r="E83" i="32"/>
  <c r="N82" i="32"/>
  <c r="O82" i="32" s="1"/>
  <c r="L82" i="32"/>
  <c r="K82" i="32"/>
  <c r="H82" i="32"/>
  <c r="I82" i="32" s="1"/>
  <c r="F82" i="32"/>
  <c r="E82" i="32"/>
  <c r="N81" i="32"/>
  <c r="O81" i="32" s="1"/>
  <c r="L81" i="32"/>
  <c r="K81" i="32"/>
  <c r="H81" i="32"/>
  <c r="I81" i="32" s="1"/>
  <c r="F81" i="32"/>
  <c r="E81" i="32"/>
  <c r="O80" i="32"/>
  <c r="N80" i="32"/>
  <c r="K80" i="32"/>
  <c r="L80" i="32" s="1"/>
  <c r="H80" i="32"/>
  <c r="I80" i="32" s="1"/>
  <c r="F80" i="32"/>
  <c r="E80" i="32"/>
  <c r="N79" i="32"/>
  <c r="N34" i="32" s="1"/>
  <c r="L79" i="32"/>
  <c r="K79" i="32"/>
  <c r="H79" i="32"/>
  <c r="I79" i="32" s="1"/>
  <c r="I34" i="32" s="1"/>
  <c r="F79" i="32"/>
  <c r="F34" i="32" s="1"/>
  <c r="E79" i="32"/>
  <c r="N78" i="32"/>
  <c r="O78" i="32" s="1"/>
  <c r="L78" i="32"/>
  <c r="K78" i="32"/>
  <c r="H78" i="32"/>
  <c r="I78" i="32" s="1"/>
  <c r="F78" i="32"/>
  <c r="E78" i="32"/>
  <c r="O77" i="32"/>
  <c r="N77" i="32"/>
  <c r="L77" i="32"/>
  <c r="K77" i="32"/>
  <c r="H77" i="32"/>
  <c r="I77" i="32" s="1"/>
  <c r="F77" i="32"/>
  <c r="E77" i="32"/>
  <c r="O76" i="32"/>
  <c r="N76" i="32"/>
  <c r="K76" i="32"/>
  <c r="L76" i="32" s="1"/>
  <c r="H76" i="32"/>
  <c r="I76" i="32" s="1"/>
  <c r="F76" i="32"/>
  <c r="E76" i="32"/>
  <c r="N75" i="32"/>
  <c r="O75" i="32" s="1"/>
  <c r="O33" i="32" s="1"/>
  <c r="L75" i="32"/>
  <c r="K75" i="32"/>
  <c r="H75" i="32"/>
  <c r="I75" i="32" s="1"/>
  <c r="I33" i="32" s="1"/>
  <c r="F75" i="32"/>
  <c r="E75" i="32"/>
  <c r="O74" i="32"/>
  <c r="N74" i="32"/>
  <c r="L74" i="32"/>
  <c r="K74" i="32"/>
  <c r="H74" i="32"/>
  <c r="I74" i="32" s="1"/>
  <c r="I36" i="32" s="1"/>
  <c r="F74" i="32"/>
  <c r="F36" i="32" s="1"/>
  <c r="E74" i="32"/>
  <c r="O73" i="32"/>
  <c r="N73" i="32"/>
  <c r="L73" i="32"/>
  <c r="L29" i="32" s="1"/>
  <c r="K73" i="32"/>
  <c r="H73" i="32"/>
  <c r="I73" i="32" s="1"/>
  <c r="I29" i="32" s="1"/>
  <c r="F73" i="32"/>
  <c r="E73" i="32"/>
  <c r="N72" i="32"/>
  <c r="N32" i="32" s="1"/>
  <c r="K72" i="32"/>
  <c r="K32" i="32" s="1"/>
  <c r="H72" i="32"/>
  <c r="H32" i="32" s="1"/>
  <c r="F72" i="32"/>
  <c r="E72" i="32"/>
  <c r="O71" i="32"/>
  <c r="N71" i="32"/>
  <c r="L71" i="32"/>
  <c r="K71" i="32"/>
  <c r="H71" i="32"/>
  <c r="F71" i="32"/>
  <c r="F91" i="32" s="1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L63" i="32"/>
  <c r="K63" i="32"/>
  <c r="I63" i="32"/>
  <c r="H63" i="32"/>
  <c r="F63" i="32"/>
  <c r="E63" i="32"/>
  <c r="O62" i="32"/>
  <c r="N62" i="32"/>
  <c r="L62" i="32"/>
  <c r="K62" i="32"/>
  <c r="H62" i="32"/>
  <c r="I62" i="32" s="1"/>
  <c r="F62" i="32"/>
  <c r="E62" i="32"/>
  <c r="N61" i="32"/>
  <c r="O61" i="32" s="1"/>
  <c r="L61" i="32"/>
  <c r="K61" i="32"/>
  <c r="H61" i="32"/>
  <c r="I61" i="32" s="1"/>
  <c r="F61" i="32"/>
  <c r="E61" i="32"/>
  <c r="N60" i="32"/>
  <c r="O60" i="32" s="1"/>
  <c r="K60" i="32"/>
  <c r="L60" i="32" s="1"/>
  <c r="H60" i="32"/>
  <c r="I60" i="32" s="1"/>
  <c r="F60" i="32"/>
  <c r="E60" i="32"/>
  <c r="O59" i="32"/>
  <c r="N59" i="32"/>
  <c r="K59" i="32"/>
  <c r="L59" i="32" s="1"/>
  <c r="H59" i="32"/>
  <c r="I59" i="32" s="1"/>
  <c r="F59" i="32"/>
  <c r="E59" i="32"/>
  <c r="N58" i="32"/>
  <c r="O58" i="32" s="1"/>
  <c r="L58" i="32"/>
  <c r="K58" i="32"/>
  <c r="H58" i="32"/>
  <c r="I58" i="32" s="1"/>
  <c r="F58" i="32"/>
  <c r="E58" i="32"/>
  <c r="O57" i="32"/>
  <c r="N57" i="32"/>
  <c r="L57" i="32"/>
  <c r="K57" i="32"/>
  <c r="H57" i="32"/>
  <c r="I57" i="32" s="1"/>
  <c r="F57" i="32"/>
  <c r="E57" i="32"/>
  <c r="O56" i="32"/>
  <c r="N56" i="32"/>
  <c r="K56" i="32"/>
  <c r="L56" i="32" s="1"/>
  <c r="H56" i="32"/>
  <c r="I56" i="32" s="1"/>
  <c r="F56" i="32"/>
  <c r="E56" i="32"/>
  <c r="N55" i="32"/>
  <c r="O55" i="32" s="1"/>
  <c r="K55" i="32"/>
  <c r="L55" i="32" s="1"/>
  <c r="H55" i="32"/>
  <c r="I55" i="32" s="1"/>
  <c r="F55" i="32"/>
  <c r="E55" i="32"/>
  <c r="O54" i="32"/>
  <c r="N54" i="32"/>
  <c r="L54" i="32"/>
  <c r="K54" i="32"/>
  <c r="H54" i="32"/>
  <c r="I54" i="32" s="1"/>
  <c r="F54" i="32"/>
  <c r="E54" i="32"/>
  <c r="N53" i="32"/>
  <c r="O53" i="32" s="1"/>
  <c r="L53" i="32"/>
  <c r="K53" i="32"/>
  <c r="H53" i="32"/>
  <c r="I53" i="32" s="1"/>
  <c r="F53" i="32"/>
  <c r="E53" i="32"/>
  <c r="N52" i="32"/>
  <c r="O52" i="32" s="1"/>
  <c r="K52" i="32"/>
  <c r="L52" i="32" s="1"/>
  <c r="H52" i="32"/>
  <c r="I52" i="32" s="1"/>
  <c r="F52" i="32"/>
  <c r="E52" i="32"/>
  <c r="O51" i="32"/>
  <c r="N51" i="32"/>
  <c r="K51" i="32"/>
  <c r="L51" i="32" s="1"/>
  <c r="H51" i="32"/>
  <c r="I51" i="32" s="1"/>
  <c r="F51" i="32"/>
  <c r="E51" i="32"/>
  <c r="N50" i="32"/>
  <c r="O50" i="32" s="1"/>
  <c r="L50" i="32"/>
  <c r="K50" i="32"/>
  <c r="H50" i="32"/>
  <c r="I50" i="32" s="1"/>
  <c r="F50" i="32"/>
  <c r="E50" i="32"/>
  <c r="O49" i="32"/>
  <c r="N49" i="32"/>
  <c r="L49" i="32"/>
  <c r="K49" i="32"/>
  <c r="H49" i="32"/>
  <c r="I49" i="32" s="1"/>
  <c r="F49" i="32"/>
  <c r="E49" i="32"/>
  <c r="O48" i="32"/>
  <c r="N48" i="32"/>
  <c r="K48" i="32"/>
  <c r="L48" i="32" s="1"/>
  <c r="H48" i="32"/>
  <c r="I48" i="32" s="1"/>
  <c r="F48" i="32"/>
  <c r="E48" i="32"/>
  <c r="N47" i="32"/>
  <c r="O47" i="32" s="1"/>
  <c r="K47" i="32"/>
  <c r="L47" i="32" s="1"/>
  <c r="H47" i="32"/>
  <c r="I47" i="32" s="1"/>
  <c r="F47" i="32"/>
  <c r="E47" i="32"/>
  <c r="O46" i="32"/>
  <c r="N46" i="32"/>
  <c r="L46" i="32"/>
  <c r="K46" i="32"/>
  <c r="H46" i="32"/>
  <c r="I46" i="32" s="1"/>
  <c r="F46" i="32"/>
  <c r="E46" i="32"/>
  <c r="N45" i="32"/>
  <c r="O45" i="32" s="1"/>
  <c r="L45" i="32"/>
  <c r="K45" i="32"/>
  <c r="H45" i="32"/>
  <c r="I45" i="32" s="1"/>
  <c r="F45" i="32"/>
  <c r="E45" i="32"/>
  <c r="N44" i="32"/>
  <c r="K44" i="32"/>
  <c r="K64" i="32" s="1"/>
  <c r="H44" i="32"/>
  <c r="H64" i="32" s="1"/>
  <c r="F44" i="32"/>
  <c r="F64" i="32" s="1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H36" i="32"/>
  <c r="G36" i="32"/>
  <c r="E36" i="32"/>
  <c r="D36" i="32"/>
  <c r="C36" i="32"/>
  <c r="B36" i="32"/>
  <c r="O35" i="32"/>
  <c r="N35" i="32"/>
  <c r="M35" i="32"/>
  <c r="L35" i="32"/>
  <c r="K35" i="32"/>
  <c r="J35" i="32"/>
  <c r="H35" i="32"/>
  <c r="G35" i="32"/>
  <c r="E35" i="32"/>
  <c r="D35" i="32"/>
  <c r="C35" i="32"/>
  <c r="B35" i="32"/>
  <c r="M34" i="32"/>
  <c r="L34" i="32"/>
  <c r="K34" i="32"/>
  <c r="J34" i="32"/>
  <c r="G34" i="32"/>
  <c r="E34" i="32"/>
  <c r="D34" i="32"/>
  <c r="C34" i="32"/>
  <c r="B34" i="32"/>
  <c r="N33" i="32"/>
  <c r="M33" i="32"/>
  <c r="L33" i="32"/>
  <c r="K33" i="32"/>
  <c r="J33" i="32"/>
  <c r="H33" i="32"/>
  <c r="G33" i="32"/>
  <c r="F33" i="32"/>
  <c r="E33" i="32"/>
  <c r="D33" i="32"/>
  <c r="C33" i="32"/>
  <c r="B33" i="32"/>
  <c r="M32" i="32"/>
  <c r="J32" i="32"/>
  <c r="G32" i="32"/>
  <c r="F32" i="32"/>
  <c r="E32" i="32"/>
  <c r="D32" i="32"/>
  <c r="C32" i="32"/>
  <c r="B32" i="32"/>
  <c r="N31" i="32"/>
  <c r="M31" i="32"/>
  <c r="L31" i="32"/>
  <c r="K31" i="32"/>
  <c r="J31" i="32"/>
  <c r="H31" i="32"/>
  <c r="G31" i="32"/>
  <c r="F31" i="32"/>
  <c r="E31" i="32"/>
  <c r="D31" i="32"/>
  <c r="C31" i="32"/>
  <c r="B31" i="32"/>
  <c r="M30" i="32"/>
  <c r="K30" i="32"/>
  <c r="J30" i="32"/>
  <c r="H30" i="32"/>
  <c r="G30" i="32"/>
  <c r="F30" i="32"/>
  <c r="E30" i="32"/>
  <c r="D30" i="32"/>
  <c r="C30" i="32"/>
  <c r="B30" i="32"/>
  <c r="O29" i="32"/>
  <c r="N29" i="32"/>
  <c r="M29" i="32"/>
  <c r="K29" i="32"/>
  <c r="J29" i="32"/>
  <c r="G29" i="32"/>
  <c r="F29" i="32"/>
  <c r="E29" i="32"/>
  <c r="D29" i="32"/>
  <c r="C29" i="32"/>
  <c r="B29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N26" i="32"/>
  <c r="M26" i="32"/>
  <c r="K26" i="32"/>
  <c r="J26" i="32"/>
  <c r="H26" i="32"/>
  <c r="G26" i="32"/>
  <c r="F26" i="32"/>
  <c r="E26" i="32"/>
  <c r="D26" i="32"/>
  <c r="C26" i="32"/>
  <c r="B26" i="32"/>
  <c r="N25" i="32"/>
  <c r="M25" i="32"/>
  <c r="K25" i="32"/>
  <c r="J25" i="32"/>
  <c r="H25" i="32"/>
  <c r="G25" i="32"/>
  <c r="F25" i="32"/>
  <c r="E25" i="32"/>
  <c r="D25" i="32"/>
  <c r="C25" i="32"/>
  <c r="B25" i="32"/>
  <c r="N24" i="32"/>
  <c r="M24" i="32"/>
  <c r="L24" i="32"/>
  <c r="K24" i="32"/>
  <c r="J24" i="32"/>
  <c r="H24" i="32"/>
  <c r="G24" i="32"/>
  <c r="F24" i="32"/>
  <c r="E24" i="32"/>
  <c r="D24" i="32"/>
  <c r="C24" i="32"/>
  <c r="B24" i="32"/>
  <c r="M23" i="32"/>
  <c r="L23" i="32"/>
  <c r="K23" i="32"/>
  <c r="J23" i="32"/>
  <c r="H23" i="32"/>
  <c r="G23" i="32"/>
  <c r="F23" i="32"/>
  <c r="E23" i="32"/>
  <c r="D23" i="32"/>
  <c r="C23" i="32"/>
  <c r="B23" i="32"/>
  <c r="O22" i="32"/>
  <c r="N22" i="32"/>
  <c r="M22" i="32"/>
  <c r="K22" i="32"/>
  <c r="J22" i="32"/>
  <c r="H22" i="32"/>
  <c r="G22" i="32"/>
  <c r="F22" i="32"/>
  <c r="E22" i="32"/>
  <c r="D22" i="32"/>
  <c r="C22" i="32"/>
  <c r="B22" i="32"/>
  <c r="N21" i="32"/>
  <c r="M21" i="32"/>
  <c r="L21" i="32"/>
  <c r="K21" i="32"/>
  <c r="J21" i="32"/>
  <c r="H21" i="32"/>
  <c r="G21" i="32"/>
  <c r="F21" i="32"/>
  <c r="E21" i="32"/>
  <c r="D21" i="32"/>
  <c r="C21" i="32"/>
  <c r="B21" i="32"/>
  <c r="M20" i="32"/>
  <c r="L20" i="32"/>
  <c r="K20" i="32"/>
  <c r="J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H19" i="32"/>
  <c r="G19" i="32"/>
  <c r="F19" i="32"/>
  <c r="E19" i="32"/>
  <c r="D19" i="32"/>
  <c r="C19" i="32"/>
  <c r="B19" i="32"/>
  <c r="N18" i="32"/>
  <c r="M18" i="32"/>
  <c r="K18" i="32"/>
  <c r="J18" i="32"/>
  <c r="H18" i="32"/>
  <c r="G18" i="32"/>
  <c r="F18" i="32"/>
  <c r="E18" i="32"/>
  <c r="D18" i="32"/>
  <c r="C18" i="32"/>
  <c r="B18" i="32"/>
  <c r="N17" i="32"/>
  <c r="M17" i="32"/>
  <c r="K17" i="32"/>
  <c r="J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I198" i="31"/>
  <c r="H198" i="31"/>
  <c r="F198" i="31"/>
  <c r="E198" i="31"/>
  <c r="N197" i="31"/>
  <c r="O197" i="31" s="1"/>
  <c r="L197" i="31"/>
  <c r="K197" i="31"/>
  <c r="I197" i="31"/>
  <c r="H197" i="31"/>
  <c r="F197" i="31"/>
  <c r="E197" i="31"/>
  <c r="N196" i="31"/>
  <c r="O196" i="31" s="1"/>
  <c r="L196" i="31"/>
  <c r="K196" i="31"/>
  <c r="I196" i="31"/>
  <c r="H196" i="31"/>
  <c r="F196" i="31"/>
  <c r="E196" i="31"/>
  <c r="N195" i="31"/>
  <c r="O195" i="31" s="1"/>
  <c r="L195" i="31"/>
  <c r="K195" i="31"/>
  <c r="I195" i="31"/>
  <c r="H195" i="31"/>
  <c r="F195" i="31"/>
  <c r="E195" i="31"/>
  <c r="N194" i="31"/>
  <c r="O194" i="31" s="1"/>
  <c r="L194" i="31"/>
  <c r="K194" i="31"/>
  <c r="I194" i="31"/>
  <c r="H194" i="31"/>
  <c r="F194" i="31"/>
  <c r="E194" i="31"/>
  <c r="N193" i="31"/>
  <c r="O193" i="31" s="1"/>
  <c r="L193" i="31"/>
  <c r="K193" i="31"/>
  <c r="I193" i="31"/>
  <c r="H193" i="31"/>
  <c r="F193" i="31"/>
  <c r="E193" i="31"/>
  <c r="N192" i="31"/>
  <c r="O192" i="31" s="1"/>
  <c r="L192" i="31"/>
  <c r="K192" i="31"/>
  <c r="I192" i="31"/>
  <c r="H192" i="31"/>
  <c r="F192" i="31"/>
  <c r="E192" i="31"/>
  <c r="N191" i="31"/>
  <c r="O191" i="31" s="1"/>
  <c r="L191" i="31"/>
  <c r="K191" i="31"/>
  <c r="I191" i="31"/>
  <c r="H191" i="31"/>
  <c r="F191" i="31"/>
  <c r="E191" i="31"/>
  <c r="N190" i="31"/>
  <c r="O190" i="31" s="1"/>
  <c r="L190" i="31"/>
  <c r="K190" i="31"/>
  <c r="I190" i="31"/>
  <c r="H190" i="31"/>
  <c r="F190" i="31"/>
  <c r="E190" i="31"/>
  <c r="N189" i="31"/>
  <c r="O189" i="31" s="1"/>
  <c r="L189" i="31"/>
  <c r="K189" i="31"/>
  <c r="I189" i="31"/>
  <c r="H189" i="31"/>
  <c r="F189" i="31"/>
  <c r="E189" i="31"/>
  <c r="N188" i="31"/>
  <c r="O188" i="31" s="1"/>
  <c r="L188" i="31"/>
  <c r="K188" i="31"/>
  <c r="I188" i="31"/>
  <c r="H188" i="31"/>
  <c r="F188" i="31"/>
  <c r="E188" i="31"/>
  <c r="N187" i="31"/>
  <c r="O187" i="31" s="1"/>
  <c r="L187" i="31"/>
  <c r="K187" i="31"/>
  <c r="I187" i="31"/>
  <c r="H187" i="31"/>
  <c r="F187" i="31"/>
  <c r="E187" i="31"/>
  <c r="N186" i="31"/>
  <c r="O186" i="31" s="1"/>
  <c r="L186" i="31"/>
  <c r="K186" i="31"/>
  <c r="I186" i="31"/>
  <c r="H186" i="31"/>
  <c r="F186" i="31"/>
  <c r="E186" i="31"/>
  <c r="N185" i="31"/>
  <c r="O185" i="31" s="1"/>
  <c r="L185" i="31"/>
  <c r="K185" i="31"/>
  <c r="I185" i="31"/>
  <c r="H185" i="31"/>
  <c r="F185" i="31"/>
  <c r="E185" i="31"/>
  <c r="N184" i="31"/>
  <c r="O184" i="31" s="1"/>
  <c r="L184" i="31"/>
  <c r="K184" i="31"/>
  <c r="I184" i="31"/>
  <c r="H184" i="31"/>
  <c r="F184" i="31"/>
  <c r="E184" i="31"/>
  <c r="N183" i="31"/>
  <c r="O183" i="31" s="1"/>
  <c r="L183" i="31"/>
  <c r="K183" i="31"/>
  <c r="I183" i="31"/>
  <c r="H183" i="31"/>
  <c r="F183" i="31"/>
  <c r="E183" i="31"/>
  <c r="N182" i="31"/>
  <c r="O182" i="31" s="1"/>
  <c r="L182" i="31"/>
  <c r="K182" i="31"/>
  <c r="I182" i="31"/>
  <c r="H182" i="31"/>
  <c r="F182" i="31"/>
  <c r="E182" i="31"/>
  <c r="N181" i="31"/>
  <c r="O181" i="31" s="1"/>
  <c r="L181" i="31"/>
  <c r="K181" i="31"/>
  <c r="I181" i="31"/>
  <c r="H181" i="31"/>
  <c r="F181" i="31"/>
  <c r="E181" i="31"/>
  <c r="N180" i="31"/>
  <c r="O180" i="31" s="1"/>
  <c r="L180" i="31"/>
  <c r="K180" i="31"/>
  <c r="I180" i="31"/>
  <c r="H180" i="31"/>
  <c r="F180" i="31"/>
  <c r="E180" i="31"/>
  <c r="N179" i="31"/>
  <c r="N199" i="31" s="1"/>
  <c r="L179" i="31"/>
  <c r="L199" i="31" s="1"/>
  <c r="K179" i="31"/>
  <c r="K199" i="31" s="1"/>
  <c r="I179" i="31"/>
  <c r="I199" i="31" s="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O167" i="31"/>
  <c r="N167" i="31"/>
  <c r="L167" i="31"/>
  <c r="L36" i="31" s="1"/>
  <c r="K167" i="31"/>
  <c r="H167" i="31"/>
  <c r="I167" i="31" s="1"/>
  <c r="I36" i="31" s="1"/>
  <c r="F167" i="31"/>
  <c r="F36" i="31" s="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N162" i="31"/>
  <c r="O162" i="31" s="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N160" i="31"/>
  <c r="O160" i="31" s="1"/>
  <c r="K160" i="31"/>
  <c r="L160" i="31" s="1"/>
  <c r="H160" i="31"/>
  <c r="I160" i="31" s="1"/>
  <c r="F160" i="31"/>
  <c r="E160" i="31"/>
  <c r="O159" i="31"/>
  <c r="N159" i="31"/>
  <c r="L159" i="31"/>
  <c r="K159" i="31"/>
  <c r="H159" i="31"/>
  <c r="I159" i="31" s="1"/>
  <c r="F159" i="31"/>
  <c r="E159" i="31"/>
  <c r="N158" i="31"/>
  <c r="N34" i="31" s="1"/>
  <c r="K158" i="31"/>
  <c r="L158" i="31" s="1"/>
  <c r="L34" i="31" s="1"/>
  <c r="H158" i="31"/>
  <c r="I158" i="31" s="1"/>
  <c r="I34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K156" i="31"/>
  <c r="L156" i="31" s="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N143" i="31"/>
  <c r="O143" i="31" s="1"/>
  <c r="L143" i="31"/>
  <c r="K143" i="31"/>
  <c r="I143" i="31"/>
  <c r="H143" i="31"/>
  <c r="F143" i="31"/>
  <c r="E143" i="31"/>
  <c r="N142" i="31"/>
  <c r="O142" i="31" s="1"/>
  <c r="L142" i="31"/>
  <c r="K142" i="31"/>
  <c r="I142" i="31"/>
  <c r="H142" i="31"/>
  <c r="F142" i="31"/>
  <c r="E142" i="31"/>
  <c r="N141" i="31"/>
  <c r="O141" i="31" s="1"/>
  <c r="L141" i="31"/>
  <c r="K141" i="31"/>
  <c r="I141" i="31"/>
  <c r="H141" i="31"/>
  <c r="F141" i="31"/>
  <c r="E141" i="31"/>
  <c r="N140" i="31"/>
  <c r="O140" i="31" s="1"/>
  <c r="L140" i="31"/>
  <c r="K140" i="31"/>
  <c r="I140" i="31"/>
  <c r="H140" i="31"/>
  <c r="F140" i="31"/>
  <c r="E140" i="31"/>
  <c r="N139" i="31"/>
  <c r="O139" i="31" s="1"/>
  <c r="L139" i="31"/>
  <c r="K139" i="31"/>
  <c r="I139" i="31"/>
  <c r="H139" i="31"/>
  <c r="F139" i="31"/>
  <c r="E139" i="31"/>
  <c r="N138" i="31"/>
  <c r="O138" i="31" s="1"/>
  <c r="L138" i="31"/>
  <c r="K138" i="31"/>
  <c r="I138" i="31"/>
  <c r="H138" i="31"/>
  <c r="F138" i="31"/>
  <c r="E138" i="31"/>
  <c r="N137" i="31"/>
  <c r="O137" i="31" s="1"/>
  <c r="L137" i="31"/>
  <c r="K137" i="31"/>
  <c r="I137" i="31"/>
  <c r="H137" i="31"/>
  <c r="F137" i="31"/>
  <c r="E137" i="31"/>
  <c r="N136" i="31"/>
  <c r="O136" i="31" s="1"/>
  <c r="L136" i="31"/>
  <c r="K136" i="31"/>
  <c r="I136" i="31"/>
  <c r="H136" i="31"/>
  <c r="F136" i="31"/>
  <c r="E136" i="31"/>
  <c r="N135" i="31"/>
  <c r="O135" i="31" s="1"/>
  <c r="L135" i="31"/>
  <c r="K135" i="31"/>
  <c r="I135" i="31"/>
  <c r="H135" i="31"/>
  <c r="F135" i="31"/>
  <c r="E135" i="31"/>
  <c r="N134" i="31"/>
  <c r="O134" i="31" s="1"/>
  <c r="L134" i="31"/>
  <c r="K134" i="31"/>
  <c r="I134" i="31"/>
  <c r="H134" i="31"/>
  <c r="F134" i="31"/>
  <c r="E134" i="31"/>
  <c r="N133" i="31"/>
  <c r="O133" i="31" s="1"/>
  <c r="L133" i="31"/>
  <c r="K133" i="31"/>
  <c r="I133" i="31"/>
  <c r="H133" i="31"/>
  <c r="F133" i="31"/>
  <c r="E133" i="31"/>
  <c r="N132" i="31"/>
  <c r="O132" i="31" s="1"/>
  <c r="L132" i="31"/>
  <c r="K132" i="31"/>
  <c r="I132" i="31"/>
  <c r="H132" i="31"/>
  <c r="F132" i="31"/>
  <c r="E132" i="31"/>
  <c r="N131" i="31"/>
  <c r="O131" i="31" s="1"/>
  <c r="L131" i="31"/>
  <c r="K131" i="31"/>
  <c r="I131" i="31"/>
  <c r="H131" i="31"/>
  <c r="F131" i="31"/>
  <c r="E131" i="31"/>
  <c r="N130" i="31"/>
  <c r="O130" i="31" s="1"/>
  <c r="L130" i="31"/>
  <c r="K130" i="31"/>
  <c r="I130" i="31"/>
  <c r="H130" i="31"/>
  <c r="F130" i="31"/>
  <c r="E130" i="31"/>
  <c r="N129" i="31"/>
  <c r="O129" i="31" s="1"/>
  <c r="L129" i="31"/>
  <c r="K129" i="31"/>
  <c r="I129" i="31"/>
  <c r="H129" i="31"/>
  <c r="F129" i="31"/>
  <c r="E129" i="31"/>
  <c r="N128" i="31"/>
  <c r="O128" i="31" s="1"/>
  <c r="L128" i="31"/>
  <c r="K128" i="31"/>
  <c r="I128" i="31"/>
  <c r="H128" i="31"/>
  <c r="F128" i="31"/>
  <c r="E128" i="31"/>
  <c r="N127" i="31"/>
  <c r="O127" i="31" s="1"/>
  <c r="L127" i="31"/>
  <c r="K127" i="31"/>
  <c r="I127" i="31"/>
  <c r="H127" i="31"/>
  <c r="F127" i="31"/>
  <c r="E127" i="31"/>
  <c r="N126" i="31"/>
  <c r="O126" i="31" s="1"/>
  <c r="L126" i="31"/>
  <c r="K126" i="31"/>
  <c r="I126" i="31"/>
  <c r="H126" i="31"/>
  <c r="F126" i="31"/>
  <c r="E126" i="31"/>
  <c r="N125" i="31"/>
  <c r="N145" i="31" s="1"/>
  <c r="L125" i="31"/>
  <c r="L145" i="31" s="1"/>
  <c r="K125" i="31"/>
  <c r="K145" i="31" s="1"/>
  <c r="I125" i="31"/>
  <c r="I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O117" i="31"/>
  <c r="N117" i="31"/>
  <c r="L117" i="31"/>
  <c r="K117" i="31"/>
  <c r="H117" i="31"/>
  <c r="I117" i="31" s="1"/>
  <c r="F117" i="31"/>
  <c r="E117" i="31"/>
  <c r="N116" i="31"/>
  <c r="O116" i="31" s="1"/>
  <c r="K116" i="31"/>
  <c r="L116" i="31" s="1"/>
  <c r="H116" i="31"/>
  <c r="I116" i="31" s="1"/>
  <c r="F116" i="31"/>
  <c r="E116" i="31"/>
  <c r="N115" i="31"/>
  <c r="O115" i="31" s="1"/>
  <c r="K115" i="31"/>
  <c r="L115" i="31" s="1"/>
  <c r="H115" i="31"/>
  <c r="I115" i="31" s="1"/>
  <c r="F115" i="31"/>
  <c r="E115" i="31"/>
  <c r="N114" i="31"/>
  <c r="O114" i="31" s="1"/>
  <c r="K114" i="31"/>
  <c r="L114" i="31" s="1"/>
  <c r="H114" i="31"/>
  <c r="I114" i="31" s="1"/>
  <c r="F114" i="31"/>
  <c r="E114" i="31"/>
  <c r="N113" i="31"/>
  <c r="O113" i="31" s="1"/>
  <c r="L113" i="31"/>
  <c r="K113" i="31"/>
  <c r="H113" i="31"/>
  <c r="I113" i="31" s="1"/>
  <c r="F113" i="31"/>
  <c r="E113" i="31"/>
  <c r="O112" i="31"/>
  <c r="N112" i="31"/>
  <c r="K112" i="31"/>
  <c r="L112" i="31" s="1"/>
  <c r="H112" i="31"/>
  <c r="I112" i="31" s="1"/>
  <c r="F112" i="31"/>
  <c r="E112" i="31"/>
  <c r="O111" i="31"/>
  <c r="N111" i="31"/>
  <c r="K111" i="31"/>
  <c r="L111" i="31" s="1"/>
  <c r="H111" i="31"/>
  <c r="I111" i="31" s="1"/>
  <c r="F111" i="31"/>
  <c r="E111" i="31"/>
  <c r="O110" i="31"/>
  <c r="N110" i="31"/>
  <c r="L110" i="31"/>
  <c r="K110" i="31"/>
  <c r="H110" i="31"/>
  <c r="I110" i="31" s="1"/>
  <c r="F110" i="31"/>
  <c r="E110" i="31"/>
  <c r="N109" i="31"/>
  <c r="O109" i="31" s="1"/>
  <c r="L109" i="31"/>
  <c r="K109" i="31"/>
  <c r="H109" i="31"/>
  <c r="I109" i="31" s="1"/>
  <c r="F109" i="31"/>
  <c r="E109" i="31"/>
  <c r="O108" i="31"/>
  <c r="N108" i="31"/>
  <c r="K108" i="31"/>
  <c r="L108" i="31" s="1"/>
  <c r="H108" i="31"/>
  <c r="I108" i="31" s="1"/>
  <c r="F108" i="31"/>
  <c r="E108" i="31"/>
  <c r="O107" i="31"/>
  <c r="O20" i="31" s="1"/>
  <c r="N107" i="31"/>
  <c r="K107" i="31"/>
  <c r="L107" i="31" s="1"/>
  <c r="L20" i="31" s="1"/>
  <c r="H107" i="31"/>
  <c r="I107" i="31" s="1"/>
  <c r="I20" i="31" s="1"/>
  <c r="F107" i="31"/>
  <c r="E107" i="31"/>
  <c r="O106" i="31"/>
  <c r="N106" i="31"/>
  <c r="L106" i="31"/>
  <c r="K106" i="31"/>
  <c r="H106" i="31"/>
  <c r="I106" i="31" s="1"/>
  <c r="F106" i="31"/>
  <c r="E106" i="31"/>
  <c r="N105" i="31"/>
  <c r="O105" i="31" s="1"/>
  <c r="L105" i="31"/>
  <c r="K105" i="31"/>
  <c r="H105" i="31"/>
  <c r="I105" i="31" s="1"/>
  <c r="F105" i="31"/>
  <c r="E105" i="31"/>
  <c r="O104" i="31"/>
  <c r="N104" i="31"/>
  <c r="K104" i="31"/>
  <c r="L104" i="31" s="1"/>
  <c r="L22" i="31" s="1"/>
  <c r="H104" i="31"/>
  <c r="I104" i="31" s="1"/>
  <c r="I22" i="31" s="1"/>
  <c r="F104" i="31"/>
  <c r="E104" i="31"/>
  <c r="O103" i="31"/>
  <c r="N103" i="31"/>
  <c r="K103" i="31"/>
  <c r="L103" i="31" s="1"/>
  <c r="H103" i="31"/>
  <c r="I103" i="31" s="1"/>
  <c r="F103" i="31"/>
  <c r="E103" i="31"/>
  <c r="O102" i="31"/>
  <c r="N102" i="31"/>
  <c r="L102" i="31"/>
  <c r="K102" i="31"/>
  <c r="H102" i="31"/>
  <c r="I102" i="31" s="1"/>
  <c r="F102" i="31"/>
  <c r="E102" i="31"/>
  <c r="N101" i="31"/>
  <c r="O101" i="31" s="1"/>
  <c r="L101" i="31"/>
  <c r="K101" i="31"/>
  <c r="H101" i="31"/>
  <c r="I101" i="31" s="1"/>
  <c r="F101" i="31"/>
  <c r="E101" i="31"/>
  <c r="O100" i="31"/>
  <c r="O26" i="31" s="1"/>
  <c r="N100" i="31"/>
  <c r="K100" i="31"/>
  <c r="L100" i="31" s="1"/>
  <c r="L26" i="31" s="1"/>
  <c r="H100" i="31"/>
  <c r="I100" i="31" s="1"/>
  <c r="I26" i="31" s="1"/>
  <c r="F100" i="31"/>
  <c r="E100" i="31"/>
  <c r="O99" i="31"/>
  <c r="N99" i="31"/>
  <c r="K99" i="31"/>
  <c r="L99" i="31" s="1"/>
  <c r="L23" i="31" s="1"/>
  <c r="H99" i="31"/>
  <c r="I99" i="31" s="1"/>
  <c r="I23" i="31" s="1"/>
  <c r="F99" i="31"/>
  <c r="E99" i="31"/>
  <c r="O98" i="31"/>
  <c r="N98" i="31"/>
  <c r="L98" i="31"/>
  <c r="K98" i="31"/>
  <c r="H98" i="31"/>
  <c r="H118" i="31" s="1"/>
  <c r="F98" i="31"/>
  <c r="E98" i="31"/>
  <c r="E118" i="31" s="1"/>
  <c r="M96" i="31"/>
  <c r="J96" i="31"/>
  <c r="G96" i="31"/>
  <c r="D96" i="31"/>
  <c r="B96" i="31"/>
  <c r="M95" i="31"/>
  <c r="G95" i="31"/>
  <c r="B91" i="31"/>
  <c r="L90" i="31" s="1"/>
  <c r="N90" i="31"/>
  <c r="O90" i="31" s="1"/>
  <c r="K90" i="31"/>
  <c r="H90" i="31"/>
  <c r="E90" i="31"/>
  <c r="O89" i="31"/>
  <c r="N89" i="31"/>
  <c r="K89" i="31"/>
  <c r="H89" i="31"/>
  <c r="E89" i="31"/>
  <c r="O88" i="31"/>
  <c r="N88" i="31"/>
  <c r="K88" i="31"/>
  <c r="H88" i="31"/>
  <c r="E88" i="31"/>
  <c r="O87" i="31"/>
  <c r="N87" i="31"/>
  <c r="K87" i="31"/>
  <c r="H87" i="31"/>
  <c r="E87" i="31"/>
  <c r="N86" i="31"/>
  <c r="O86" i="31" s="1"/>
  <c r="K86" i="31"/>
  <c r="H86" i="31"/>
  <c r="E86" i="31"/>
  <c r="O85" i="31"/>
  <c r="O18" i="31" s="1"/>
  <c r="N85" i="31"/>
  <c r="K85" i="31"/>
  <c r="H85" i="31"/>
  <c r="E85" i="31"/>
  <c r="O84" i="31"/>
  <c r="N84" i="31"/>
  <c r="K84" i="31"/>
  <c r="L84" i="31" s="1"/>
  <c r="H84" i="31"/>
  <c r="E84" i="31"/>
  <c r="F84" i="31" s="1"/>
  <c r="O83" i="31"/>
  <c r="N83" i="31"/>
  <c r="K83" i="31"/>
  <c r="H83" i="31"/>
  <c r="E83" i="31"/>
  <c r="N82" i="31"/>
  <c r="O82" i="31" s="1"/>
  <c r="L82" i="31"/>
  <c r="K82" i="31"/>
  <c r="H82" i="31"/>
  <c r="I82" i="31" s="1"/>
  <c r="E82" i="31"/>
  <c r="O81" i="31"/>
  <c r="N81" i="31"/>
  <c r="K81" i="31"/>
  <c r="L81" i="31" s="1"/>
  <c r="H81" i="31"/>
  <c r="E81" i="31"/>
  <c r="O80" i="31"/>
  <c r="N80" i="31"/>
  <c r="L80" i="31"/>
  <c r="K80" i="31"/>
  <c r="H80" i="31"/>
  <c r="I80" i="31" s="1"/>
  <c r="I25" i="31" s="1"/>
  <c r="E80" i="31"/>
  <c r="O79" i="31"/>
  <c r="N79" i="31"/>
  <c r="K79" i="31"/>
  <c r="L79" i="31" s="1"/>
  <c r="H79" i="31"/>
  <c r="E79" i="31"/>
  <c r="O78" i="31"/>
  <c r="N78" i="31"/>
  <c r="K78" i="31"/>
  <c r="L78" i="31" s="1"/>
  <c r="H78" i="31"/>
  <c r="E78" i="31"/>
  <c r="F78" i="31" s="1"/>
  <c r="O77" i="31"/>
  <c r="N77" i="31"/>
  <c r="K77" i="31"/>
  <c r="H77" i="31"/>
  <c r="E77" i="31"/>
  <c r="N76" i="31"/>
  <c r="O76" i="31" s="1"/>
  <c r="K76" i="31"/>
  <c r="L76" i="31" s="1"/>
  <c r="H76" i="31"/>
  <c r="E76" i="31"/>
  <c r="F76" i="31" s="1"/>
  <c r="O75" i="31"/>
  <c r="N75" i="31"/>
  <c r="K75" i="31"/>
  <c r="H75" i="31"/>
  <c r="E75" i="31"/>
  <c r="O74" i="31"/>
  <c r="N74" i="31"/>
  <c r="L74" i="31"/>
  <c r="K74" i="31"/>
  <c r="H74" i="31"/>
  <c r="I74" i="31" s="1"/>
  <c r="I19" i="31" s="1"/>
  <c r="E74" i="31"/>
  <c r="N73" i="31"/>
  <c r="O73" i="31" s="1"/>
  <c r="K73" i="31"/>
  <c r="L73" i="31" s="1"/>
  <c r="H73" i="31"/>
  <c r="E73" i="31"/>
  <c r="O72" i="31"/>
  <c r="O32" i="31" s="1"/>
  <c r="N72" i="31"/>
  <c r="L72" i="31"/>
  <c r="K72" i="31"/>
  <c r="H72" i="31"/>
  <c r="I72" i="31" s="1"/>
  <c r="I32" i="31" s="1"/>
  <c r="E72" i="31"/>
  <c r="O71" i="31"/>
  <c r="N71" i="31"/>
  <c r="K71" i="31"/>
  <c r="K91" i="31" s="1"/>
  <c r="H71" i="31"/>
  <c r="E71" i="31"/>
  <c r="E91" i="31" s="1"/>
  <c r="M69" i="31"/>
  <c r="J69" i="31"/>
  <c r="G69" i="31"/>
  <c r="D69" i="31"/>
  <c r="B69" i="31"/>
  <c r="M68" i="31"/>
  <c r="G68" i="31"/>
  <c r="B64" i="31"/>
  <c r="L57" i="31" s="1"/>
  <c r="L35" i="31" s="1"/>
  <c r="O63" i="31"/>
  <c r="N63" i="31"/>
  <c r="L63" i="31"/>
  <c r="K63" i="31"/>
  <c r="I63" i="31"/>
  <c r="H63" i="31"/>
  <c r="F63" i="31"/>
  <c r="E63" i="31"/>
  <c r="N62" i="31"/>
  <c r="O62" i="31" s="1"/>
  <c r="K62" i="31"/>
  <c r="L62" i="31" s="1"/>
  <c r="I62" i="31"/>
  <c r="H62" i="31"/>
  <c r="E62" i="31"/>
  <c r="O61" i="31"/>
  <c r="N61" i="31"/>
  <c r="L61" i="31"/>
  <c r="K61" i="31"/>
  <c r="H61" i="31"/>
  <c r="I61" i="31" s="1"/>
  <c r="F61" i="31"/>
  <c r="E61" i="31"/>
  <c r="O60" i="31"/>
  <c r="N60" i="31"/>
  <c r="L60" i="31"/>
  <c r="K60" i="31"/>
  <c r="H60" i="31"/>
  <c r="F60" i="31"/>
  <c r="E60" i="31"/>
  <c r="N59" i="31"/>
  <c r="O59" i="31" s="1"/>
  <c r="K59" i="31"/>
  <c r="L59" i="31" s="1"/>
  <c r="H59" i="31"/>
  <c r="I59" i="31" s="1"/>
  <c r="F59" i="31"/>
  <c r="E59" i="31"/>
  <c r="O58" i="31"/>
  <c r="N58" i="31"/>
  <c r="K58" i="31"/>
  <c r="L58" i="31" s="1"/>
  <c r="H58" i="31"/>
  <c r="E58" i="31"/>
  <c r="F58" i="31" s="1"/>
  <c r="O57" i="31"/>
  <c r="N57" i="31"/>
  <c r="K57" i="31"/>
  <c r="H57" i="31"/>
  <c r="I57" i="31" s="1"/>
  <c r="I35" i="31" s="1"/>
  <c r="E57" i="31"/>
  <c r="F57" i="31" s="1"/>
  <c r="F35" i="31" s="1"/>
  <c r="N56" i="31"/>
  <c r="O56" i="31" s="1"/>
  <c r="K56" i="31"/>
  <c r="L56" i="31" s="1"/>
  <c r="I56" i="31"/>
  <c r="H56" i="31"/>
  <c r="E56" i="31"/>
  <c r="F56" i="31" s="1"/>
  <c r="O55" i="31"/>
  <c r="N55" i="31"/>
  <c r="K55" i="31"/>
  <c r="I55" i="31"/>
  <c r="H55" i="31"/>
  <c r="E55" i="31"/>
  <c r="N54" i="31"/>
  <c r="O54" i="31" s="1"/>
  <c r="O24" i="31" s="1"/>
  <c r="L54" i="31"/>
  <c r="K54" i="31"/>
  <c r="H54" i="31"/>
  <c r="I54" i="31" s="1"/>
  <c r="I24" i="31" s="1"/>
  <c r="E54" i="31"/>
  <c r="F54" i="31" s="1"/>
  <c r="F24" i="31" s="1"/>
  <c r="O53" i="31"/>
  <c r="N53" i="31"/>
  <c r="K53" i="31"/>
  <c r="L53" i="31" s="1"/>
  <c r="I53" i="31"/>
  <c r="H53" i="31"/>
  <c r="E53" i="31"/>
  <c r="N52" i="31"/>
  <c r="O52" i="31" s="1"/>
  <c r="L52" i="31"/>
  <c r="K52" i="31"/>
  <c r="I52" i="31"/>
  <c r="H52" i="31"/>
  <c r="E52" i="31"/>
  <c r="F52" i="31" s="1"/>
  <c r="O51" i="31"/>
  <c r="N51" i="31"/>
  <c r="L51" i="31"/>
  <c r="K51" i="31"/>
  <c r="H51" i="31"/>
  <c r="E51" i="31"/>
  <c r="F51" i="31" s="1"/>
  <c r="O50" i="31"/>
  <c r="N50" i="31"/>
  <c r="K50" i="31"/>
  <c r="L50" i="31" s="1"/>
  <c r="H50" i="31"/>
  <c r="I50" i="31" s="1"/>
  <c r="E50" i="31"/>
  <c r="F50" i="31" s="1"/>
  <c r="O49" i="31"/>
  <c r="N49" i="31"/>
  <c r="L49" i="31"/>
  <c r="K49" i="31"/>
  <c r="H49" i="31"/>
  <c r="E49" i="31"/>
  <c r="F49" i="31" s="1"/>
  <c r="N48" i="31"/>
  <c r="O48" i="31" s="1"/>
  <c r="O29" i="31" s="1"/>
  <c r="L48" i="31"/>
  <c r="K48" i="31"/>
  <c r="I48" i="31"/>
  <c r="H48" i="31"/>
  <c r="E48" i="31"/>
  <c r="F48" i="31" s="1"/>
  <c r="F29" i="31" s="1"/>
  <c r="O47" i="31"/>
  <c r="N47" i="31"/>
  <c r="K47" i="31"/>
  <c r="I47" i="31"/>
  <c r="H47" i="31"/>
  <c r="E47" i="31"/>
  <c r="F47" i="31" s="1"/>
  <c r="O46" i="31"/>
  <c r="N46" i="31"/>
  <c r="K46" i="31"/>
  <c r="L46" i="31" s="1"/>
  <c r="L30" i="31" s="1"/>
  <c r="H46" i="31"/>
  <c r="I46" i="31" s="1"/>
  <c r="I30" i="31" s="1"/>
  <c r="E46" i="31"/>
  <c r="O45" i="31"/>
  <c r="N45" i="31"/>
  <c r="L45" i="31"/>
  <c r="K45" i="31"/>
  <c r="H45" i="31"/>
  <c r="I45" i="31" s="1"/>
  <c r="F45" i="31"/>
  <c r="E45" i="31"/>
  <c r="O44" i="31"/>
  <c r="N44" i="31"/>
  <c r="K44" i="31"/>
  <c r="K64" i="31" s="1"/>
  <c r="H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K36" i="31"/>
  <c r="J36" i="31"/>
  <c r="H36" i="31"/>
  <c r="G36" i="31"/>
  <c r="E36" i="31"/>
  <c r="D36" i="31"/>
  <c r="C36" i="31"/>
  <c r="B36" i="31"/>
  <c r="O35" i="31"/>
  <c r="N35" i="31"/>
  <c r="M35" i="31"/>
  <c r="K35" i="31"/>
  <c r="J35" i="31"/>
  <c r="H35" i="31"/>
  <c r="G35" i="31"/>
  <c r="E35" i="31"/>
  <c r="D35" i="31"/>
  <c r="C35" i="31"/>
  <c r="B35" i="31"/>
  <c r="M34" i="31"/>
  <c r="K34" i="31"/>
  <c r="J34" i="31"/>
  <c r="H34" i="31"/>
  <c r="G34" i="31"/>
  <c r="F34" i="31"/>
  <c r="E34" i="31"/>
  <c r="D34" i="31"/>
  <c r="C34" i="31"/>
  <c r="B34" i="31"/>
  <c r="O33" i="31"/>
  <c r="N33" i="31"/>
  <c r="M33" i="31"/>
  <c r="K33" i="31"/>
  <c r="J33" i="31"/>
  <c r="H33" i="31"/>
  <c r="G33" i="31"/>
  <c r="E33" i="31"/>
  <c r="D33" i="31"/>
  <c r="C33" i="31"/>
  <c r="B33" i="31"/>
  <c r="N32" i="31"/>
  <c r="M32" i="31"/>
  <c r="L32" i="31"/>
  <c r="K32" i="31"/>
  <c r="J32" i="31"/>
  <c r="G32" i="31"/>
  <c r="E32" i="31"/>
  <c r="D32" i="31"/>
  <c r="C32" i="31"/>
  <c r="B32" i="31"/>
  <c r="O31" i="31"/>
  <c r="N31" i="31"/>
  <c r="M31" i="31"/>
  <c r="K31" i="31"/>
  <c r="J31" i="31"/>
  <c r="H31" i="31"/>
  <c r="G31" i="31"/>
  <c r="E31" i="31"/>
  <c r="D31" i="31"/>
  <c r="C31" i="31"/>
  <c r="B31" i="31"/>
  <c r="O30" i="31"/>
  <c r="N30" i="31"/>
  <c r="M30" i="31"/>
  <c r="K30" i="31"/>
  <c r="J30" i="31"/>
  <c r="H30" i="31"/>
  <c r="G30" i="31"/>
  <c r="E30" i="31"/>
  <c r="D30" i="31"/>
  <c r="C30" i="31"/>
  <c r="B30" i="31"/>
  <c r="N29" i="31"/>
  <c r="M29" i="31"/>
  <c r="L29" i="31"/>
  <c r="K29" i="31"/>
  <c r="J29" i="31"/>
  <c r="I29" i="31"/>
  <c r="H29" i="31"/>
  <c r="G29" i="31"/>
  <c r="E29" i="31"/>
  <c r="D29" i="31"/>
  <c r="C29" i="31"/>
  <c r="B29" i="31"/>
  <c r="O28" i="31"/>
  <c r="N28" i="31"/>
  <c r="M28" i="31"/>
  <c r="K28" i="31"/>
  <c r="J28" i="31"/>
  <c r="H28" i="31"/>
  <c r="G28" i="31"/>
  <c r="E28" i="31"/>
  <c r="D28" i="31"/>
  <c r="C28" i="31"/>
  <c r="B28" i="31"/>
  <c r="O27" i="31"/>
  <c r="N27" i="31"/>
  <c r="M27" i="31"/>
  <c r="K27" i="31"/>
  <c r="J27" i="31"/>
  <c r="I27" i="31"/>
  <c r="H27" i="31"/>
  <c r="G27" i="31"/>
  <c r="E27" i="31"/>
  <c r="D27" i="31"/>
  <c r="C27" i="31"/>
  <c r="B27" i="31"/>
  <c r="N26" i="31"/>
  <c r="M26" i="31"/>
  <c r="K26" i="31"/>
  <c r="J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H25" i="31"/>
  <c r="G25" i="31"/>
  <c r="E25" i="31"/>
  <c r="D25" i="31"/>
  <c r="C25" i="31"/>
  <c r="B25" i="31"/>
  <c r="N24" i="31"/>
  <c r="M24" i="31"/>
  <c r="L24" i="31"/>
  <c r="K24" i="31"/>
  <c r="J24" i="31"/>
  <c r="H24" i="31"/>
  <c r="G24" i="31"/>
  <c r="E24" i="31"/>
  <c r="D24" i="31"/>
  <c r="C24" i="31"/>
  <c r="B24" i="31"/>
  <c r="O23" i="31"/>
  <c r="N23" i="31"/>
  <c r="M23" i="31"/>
  <c r="K23" i="31"/>
  <c r="J23" i="31"/>
  <c r="H23" i="31"/>
  <c r="G23" i="31"/>
  <c r="F23" i="31"/>
  <c r="E23" i="31"/>
  <c r="D23" i="31"/>
  <c r="C23" i="31"/>
  <c r="B23" i="31"/>
  <c r="O22" i="31"/>
  <c r="N22" i="31"/>
  <c r="M22" i="31"/>
  <c r="K22" i="31"/>
  <c r="J22" i="31"/>
  <c r="H22" i="31"/>
  <c r="G22" i="31"/>
  <c r="F22" i="31"/>
  <c r="E22" i="31"/>
  <c r="D22" i="31"/>
  <c r="C22" i="31"/>
  <c r="B22" i="31"/>
  <c r="O21" i="31"/>
  <c r="N21" i="31"/>
  <c r="M21" i="31"/>
  <c r="K21" i="31"/>
  <c r="J21" i="31"/>
  <c r="H21" i="31"/>
  <c r="G21" i="31"/>
  <c r="E21" i="31"/>
  <c r="D21" i="31"/>
  <c r="C21" i="31"/>
  <c r="B21" i="31"/>
  <c r="N20" i="31"/>
  <c r="M20" i="31"/>
  <c r="K20" i="31"/>
  <c r="J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H19" i="31"/>
  <c r="G19" i="31"/>
  <c r="E19" i="31"/>
  <c r="D19" i="31"/>
  <c r="C19" i="31"/>
  <c r="B19" i="31"/>
  <c r="N18" i="31"/>
  <c r="M18" i="31"/>
  <c r="K18" i="31"/>
  <c r="J18" i="31"/>
  <c r="H18" i="31"/>
  <c r="G18" i="31"/>
  <c r="E18" i="31"/>
  <c r="D18" i="31"/>
  <c r="C18" i="31"/>
  <c r="B18" i="31"/>
  <c r="N17" i="31"/>
  <c r="M17" i="31"/>
  <c r="L17" i="31"/>
  <c r="K17" i="31"/>
  <c r="J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O197" i="30"/>
  <c r="N197" i="30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F196" i="30"/>
  <c r="E196" i="30"/>
  <c r="O195" i="30"/>
  <c r="N195" i="30"/>
  <c r="K195" i="30"/>
  <c r="L195" i="30" s="1"/>
  <c r="H195" i="30"/>
  <c r="I195" i="30" s="1"/>
  <c r="F195" i="30"/>
  <c r="E195" i="30"/>
  <c r="N194" i="30"/>
  <c r="O194" i="30" s="1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N192" i="30"/>
  <c r="O192" i="30" s="1"/>
  <c r="L192" i="30"/>
  <c r="K192" i="30"/>
  <c r="H192" i="30"/>
  <c r="I192" i="30" s="1"/>
  <c r="F192" i="30"/>
  <c r="E192" i="30"/>
  <c r="N191" i="30"/>
  <c r="O191" i="30" s="1"/>
  <c r="K191" i="30"/>
  <c r="L191" i="30" s="1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L188" i="30"/>
  <c r="K188" i="30"/>
  <c r="H188" i="30"/>
  <c r="I188" i="30" s="1"/>
  <c r="F188" i="30"/>
  <c r="E188" i="30"/>
  <c r="O187" i="30"/>
  <c r="N187" i="30"/>
  <c r="K187" i="30"/>
  <c r="L187" i="30" s="1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N185" i="30"/>
  <c r="O185" i="30" s="1"/>
  <c r="K185" i="30"/>
  <c r="L185" i="30" s="1"/>
  <c r="H185" i="30"/>
  <c r="I185" i="30" s="1"/>
  <c r="F185" i="30"/>
  <c r="E185" i="30"/>
  <c r="N184" i="30"/>
  <c r="O184" i="30" s="1"/>
  <c r="L184" i="30"/>
  <c r="K184" i="30"/>
  <c r="H184" i="30"/>
  <c r="I184" i="30" s="1"/>
  <c r="F184" i="30"/>
  <c r="E184" i="30"/>
  <c r="N183" i="30"/>
  <c r="O183" i="30" s="1"/>
  <c r="K183" i="30"/>
  <c r="L183" i="30" s="1"/>
  <c r="H183" i="30"/>
  <c r="I183" i="30" s="1"/>
  <c r="F183" i="30"/>
  <c r="E183" i="30"/>
  <c r="O182" i="30"/>
  <c r="N182" i="30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O179" i="30"/>
  <c r="N179" i="30"/>
  <c r="K179" i="30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N169" i="30"/>
  <c r="O169" i="30" s="1"/>
  <c r="K169" i="30"/>
  <c r="L169" i="30" s="1"/>
  <c r="H169" i="30"/>
  <c r="I169" i="30" s="1"/>
  <c r="F169" i="30"/>
  <c r="E169" i="30"/>
  <c r="N168" i="30"/>
  <c r="O168" i="30" s="1"/>
  <c r="K168" i="30"/>
  <c r="L168" i="30" s="1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O165" i="30"/>
  <c r="N165" i="30"/>
  <c r="K165" i="30"/>
  <c r="L165" i="30" s="1"/>
  <c r="H165" i="30"/>
  <c r="I165" i="30" s="1"/>
  <c r="F165" i="30"/>
  <c r="E165" i="30"/>
  <c r="N164" i="30"/>
  <c r="O164" i="30" s="1"/>
  <c r="K164" i="30"/>
  <c r="L164" i="30" s="1"/>
  <c r="H164" i="30"/>
  <c r="I164" i="30" s="1"/>
  <c r="F164" i="30"/>
  <c r="E164" i="30"/>
  <c r="O163" i="30"/>
  <c r="N163" i="30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N161" i="30"/>
  <c r="O161" i="30" s="1"/>
  <c r="K161" i="30"/>
  <c r="L161" i="30" s="1"/>
  <c r="H161" i="30"/>
  <c r="I161" i="30" s="1"/>
  <c r="F161" i="30"/>
  <c r="E161" i="30"/>
  <c r="N160" i="30"/>
  <c r="O160" i="30" s="1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O158" i="30"/>
  <c r="N158" i="30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O156" i="30"/>
  <c r="N156" i="30"/>
  <c r="K156" i="30"/>
  <c r="L156" i="30" s="1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N153" i="30"/>
  <c r="O153" i="30" s="1"/>
  <c r="K153" i="30"/>
  <c r="L153" i="30" s="1"/>
  <c r="H153" i="30"/>
  <c r="I153" i="30" s="1"/>
  <c r="F153" i="30"/>
  <c r="E153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I144" i="30"/>
  <c r="H144" i="30"/>
  <c r="F144" i="30"/>
  <c r="E144" i="30"/>
  <c r="N143" i="30"/>
  <c r="O143" i="30" s="1"/>
  <c r="L143" i="30"/>
  <c r="K143" i="30"/>
  <c r="H143" i="30"/>
  <c r="I143" i="30" s="1"/>
  <c r="F143" i="30"/>
  <c r="E143" i="30"/>
  <c r="N142" i="30"/>
  <c r="O142" i="30" s="1"/>
  <c r="K142" i="30"/>
  <c r="L142" i="30" s="1"/>
  <c r="H142" i="30"/>
  <c r="I142" i="30" s="1"/>
  <c r="F142" i="30"/>
  <c r="E142" i="30"/>
  <c r="O141" i="30"/>
  <c r="N141" i="30"/>
  <c r="K141" i="30"/>
  <c r="L141" i="30" s="1"/>
  <c r="H141" i="30"/>
  <c r="I141" i="30" s="1"/>
  <c r="F141" i="30"/>
  <c r="E141" i="30"/>
  <c r="N140" i="30"/>
  <c r="O140" i="30" s="1"/>
  <c r="L140" i="30"/>
  <c r="K140" i="30"/>
  <c r="H140" i="30"/>
  <c r="I140" i="30" s="1"/>
  <c r="F140" i="30"/>
  <c r="E140" i="30"/>
  <c r="N139" i="30"/>
  <c r="O139" i="30" s="1"/>
  <c r="L139" i="30"/>
  <c r="K139" i="30"/>
  <c r="H139" i="30"/>
  <c r="I139" i="30" s="1"/>
  <c r="F139" i="30"/>
  <c r="E139" i="30"/>
  <c r="O138" i="30"/>
  <c r="N138" i="30"/>
  <c r="K138" i="30"/>
  <c r="L138" i="30" s="1"/>
  <c r="H138" i="30"/>
  <c r="I138" i="30" s="1"/>
  <c r="F138" i="30"/>
  <c r="E138" i="30"/>
  <c r="N137" i="30"/>
  <c r="O137" i="30" s="1"/>
  <c r="K137" i="30"/>
  <c r="L137" i="30" s="1"/>
  <c r="H137" i="30"/>
  <c r="I137" i="30" s="1"/>
  <c r="F137" i="30"/>
  <c r="E137" i="30"/>
  <c r="O136" i="30"/>
  <c r="N136" i="30"/>
  <c r="L136" i="30"/>
  <c r="K136" i="30"/>
  <c r="H136" i="30"/>
  <c r="I136" i="30" s="1"/>
  <c r="F136" i="30"/>
  <c r="E136" i="30"/>
  <c r="N135" i="30"/>
  <c r="O135" i="30" s="1"/>
  <c r="L135" i="30"/>
  <c r="K135" i="30"/>
  <c r="H135" i="30"/>
  <c r="I135" i="30" s="1"/>
  <c r="F135" i="30"/>
  <c r="E135" i="30"/>
  <c r="N134" i="30"/>
  <c r="O134" i="30" s="1"/>
  <c r="K134" i="30"/>
  <c r="L134" i="30" s="1"/>
  <c r="H134" i="30"/>
  <c r="I134" i="30" s="1"/>
  <c r="F134" i="30"/>
  <c r="E134" i="30"/>
  <c r="O133" i="30"/>
  <c r="N133" i="30"/>
  <c r="K133" i="30"/>
  <c r="L133" i="30" s="1"/>
  <c r="H133" i="30"/>
  <c r="I133" i="30" s="1"/>
  <c r="E133" i="30"/>
  <c r="F133" i="30" s="1"/>
  <c r="O132" i="30"/>
  <c r="N132" i="30"/>
  <c r="L132" i="30"/>
  <c r="K132" i="30"/>
  <c r="H132" i="30"/>
  <c r="I132" i="30" s="1"/>
  <c r="F132" i="30"/>
  <c r="E132" i="30"/>
  <c r="O131" i="30"/>
  <c r="N131" i="30"/>
  <c r="K131" i="30"/>
  <c r="L131" i="30" s="1"/>
  <c r="H131" i="30"/>
  <c r="I131" i="30" s="1"/>
  <c r="F131" i="30"/>
  <c r="E131" i="30"/>
  <c r="N130" i="30"/>
  <c r="O130" i="30" s="1"/>
  <c r="K130" i="30"/>
  <c r="L130" i="30" s="1"/>
  <c r="H130" i="30"/>
  <c r="I130" i="30" s="1"/>
  <c r="E130" i="30"/>
  <c r="F130" i="30" s="1"/>
  <c r="N129" i="30"/>
  <c r="O129" i="30" s="1"/>
  <c r="L129" i="30"/>
  <c r="K129" i="30"/>
  <c r="I129" i="30"/>
  <c r="H129" i="30"/>
  <c r="E129" i="30"/>
  <c r="F129" i="30" s="1"/>
  <c r="N128" i="30"/>
  <c r="O128" i="30" s="1"/>
  <c r="K128" i="30"/>
  <c r="L128" i="30" s="1"/>
  <c r="H128" i="30"/>
  <c r="I128" i="30" s="1"/>
  <c r="E128" i="30"/>
  <c r="F128" i="30" s="1"/>
  <c r="N127" i="30"/>
  <c r="O127" i="30" s="1"/>
  <c r="L127" i="30"/>
  <c r="K127" i="30"/>
  <c r="H127" i="30"/>
  <c r="I127" i="30" s="1"/>
  <c r="E127" i="30"/>
  <c r="F127" i="30" s="1"/>
  <c r="N126" i="30"/>
  <c r="O126" i="30" s="1"/>
  <c r="K126" i="30"/>
  <c r="L126" i="30" s="1"/>
  <c r="H126" i="30"/>
  <c r="I126" i="30" s="1"/>
  <c r="E126" i="30"/>
  <c r="F126" i="30" s="1"/>
  <c r="N125" i="30"/>
  <c r="L125" i="30"/>
  <c r="K125" i="30"/>
  <c r="I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E117" i="30"/>
  <c r="F117" i="30" s="1"/>
  <c r="N116" i="30"/>
  <c r="N35" i="30" s="1"/>
  <c r="K116" i="30"/>
  <c r="L116" i="30" s="1"/>
  <c r="L35" i="30" s="1"/>
  <c r="H116" i="30"/>
  <c r="I116" i="30" s="1"/>
  <c r="I35" i="30" s="1"/>
  <c r="E116" i="30"/>
  <c r="F116" i="30" s="1"/>
  <c r="F35" i="30" s="1"/>
  <c r="O115" i="30"/>
  <c r="N115" i="30"/>
  <c r="L115" i="30"/>
  <c r="L34" i="30" s="1"/>
  <c r="K115" i="30"/>
  <c r="H115" i="30"/>
  <c r="I115" i="30" s="1"/>
  <c r="I34" i="30" s="1"/>
  <c r="E115" i="30"/>
  <c r="F115" i="30" s="1"/>
  <c r="F34" i="30" s="1"/>
  <c r="O114" i="30"/>
  <c r="N114" i="30"/>
  <c r="L114" i="30"/>
  <c r="K114" i="30"/>
  <c r="I114" i="30"/>
  <c r="H114" i="30"/>
  <c r="E114" i="30"/>
  <c r="F114" i="30" s="1"/>
  <c r="O113" i="30"/>
  <c r="N113" i="30"/>
  <c r="L113" i="30"/>
  <c r="K113" i="30"/>
  <c r="H113" i="30"/>
  <c r="I113" i="30" s="1"/>
  <c r="E113" i="30"/>
  <c r="F113" i="30" s="1"/>
  <c r="N112" i="30"/>
  <c r="N31" i="30" s="1"/>
  <c r="K112" i="30"/>
  <c r="K31" i="30" s="1"/>
  <c r="H112" i="30"/>
  <c r="I112" i="30" s="1"/>
  <c r="I31" i="30" s="1"/>
  <c r="E112" i="30"/>
  <c r="F112" i="30" s="1"/>
  <c r="F31" i="30" s="1"/>
  <c r="O111" i="30"/>
  <c r="N111" i="30"/>
  <c r="K111" i="30"/>
  <c r="L111" i="30" s="1"/>
  <c r="H111" i="30"/>
  <c r="I111" i="30" s="1"/>
  <c r="E111" i="30"/>
  <c r="F111" i="30" s="1"/>
  <c r="O110" i="30"/>
  <c r="O29" i="30" s="1"/>
  <c r="N110" i="30"/>
  <c r="K110" i="30"/>
  <c r="L110" i="30" s="1"/>
  <c r="L29" i="30" s="1"/>
  <c r="I110" i="30"/>
  <c r="I29" i="30" s="1"/>
  <c r="H110" i="30"/>
  <c r="E110" i="30"/>
  <c r="F110" i="30" s="1"/>
  <c r="F29" i="30" s="1"/>
  <c r="N109" i="30"/>
  <c r="N28" i="30" s="1"/>
  <c r="K109" i="30"/>
  <c r="L109" i="30" s="1"/>
  <c r="L28" i="30" s="1"/>
  <c r="H109" i="30"/>
  <c r="I109" i="30" s="1"/>
  <c r="I28" i="30" s="1"/>
  <c r="E109" i="30"/>
  <c r="F109" i="30" s="1"/>
  <c r="F28" i="30" s="1"/>
  <c r="O108" i="30"/>
  <c r="N108" i="30"/>
  <c r="L108" i="30"/>
  <c r="K108" i="30"/>
  <c r="H108" i="30"/>
  <c r="I108" i="30" s="1"/>
  <c r="E108" i="30"/>
  <c r="F108" i="30" s="1"/>
  <c r="O107" i="30"/>
  <c r="N107" i="30"/>
  <c r="K107" i="30"/>
  <c r="L107" i="30" s="1"/>
  <c r="L26" i="30" s="1"/>
  <c r="H107" i="30"/>
  <c r="I107" i="30" s="1"/>
  <c r="I26" i="30" s="1"/>
  <c r="E107" i="30"/>
  <c r="F107" i="30" s="1"/>
  <c r="F26" i="30" s="1"/>
  <c r="N106" i="30"/>
  <c r="O106" i="30" s="1"/>
  <c r="O25" i="30" s="1"/>
  <c r="L106" i="30"/>
  <c r="K106" i="30"/>
  <c r="I106" i="30"/>
  <c r="H106" i="30"/>
  <c r="E106" i="30"/>
  <c r="F106" i="30" s="1"/>
  <c r="F25" i="30" s="1"/>
  <c r="O105" i="30"/>
  <c r="N105" i="30"/>
  <c r="K105" i="30"/>
  <c r="L105" i="30" s="1"/>
  <c r="L24" i="30" s="1"/>
  <c r="H105" i="30"/>
  <c r="I105" i="30" s="1"/>
  <c r="I24" i="30" s="1"/>
  <c r="E105" i="30"/>
  <c r="F105" i="30" s="1"/>
  <c r="F24" i="30" s="1"/>
  <c r="N104" i="30"/>
  <c r="O104" i="30" s="1"/>
  <c r="O23" i="30" s="1"/>
  <c r="L104" i="30"/>
  <c r="K104" i="30"/>
  <c r="H104" i="30"/>
  <c r="I104" i="30" s="1"/>
  <c r="I23" i="30" s="1"/>
  <c r="E104" i="30"/>
  <c r="F104" i="30" s="1"/>
  <c r="F23" i="30" s="1"/>
  <c r="O103" i="30"/>
  <c r="N103" i="30"/>
  <c r="K103" i="30"/>
  <c r="L103" i="30" s="1"/>
  <c r="H103" i="30"/>
  <c r="I103" i="30" s="1"/>
  <c r="E103" i="30"/>
  <c r="F103" i="30" s="1"/>
  <c r="O102" i="30"/>
  <c r="N102" i="30"/>
  <c r="L102" i="30"/>
  <c r="K102" i="30"/>
  <c r="I102" i="30"/>
  <c r="H102" i="30"/>
  <c r="E102" i="30"/>
  <c r="F102" i="30" s="1"/>
  <c r="O101" i="30"/>
  <c r="N101" i="30"/>
  <c r="L101" i="30"/>
  <c r="K101" i="30"/>
  <c r="H101" i="30"/>
  <c r="I101" i="30" s="1"/>
  <c r="I20" i="30" s="1"/>
  <c r="E101" i="30"/>
  <c r="F101" i="30" s="1"/>
  <c r="F20" i="30" s="1"/>
  <c r="N100" i="30"/>
  <c r="O100" i="30" s="1"/>
  <c r="O19" i="30" s="1"/>
  <c r="L100" i="30"/>
  <c r="K100" i="30"/>
  <c r="H100" i="30"/>
  <c r="I100" i="30" s="1"/>
  <c r="I19" i="30" s="1"/>
  <c r="F100" i="30"/>
  <c r="E100" i="30"/>
  <c r="O99" i="30"/>
  <c r="N99" i="30"/>
  <c r="L99" i="30"/>
  <c r="K99" i="30"/>
  <c r="H99" i="30"/>
  <c r="I99" i="30" s="1"/>
  <c r="I18" i="30" s="1"/>
  <c r="F99" i="30"/>
  <c r="E99" i="30"/>
  <c r="O98" i="30"/>
  <c r="N98" i="30"/>
  <c r="L98" i="30"/>
  <c r="K98" i="30"/>
  <c r="H98" i="30"/>
  <c r="F98" i="30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K90" i="30"/>
  <c r="L90" i="30" s="1"/>
  <c r="H90" i="30"/>
  <c r="I90" i="30" s="1"/>
  <c r="E90" i="30"/>
  <c r="F90" i="30" s="1"/>
  <c r="O89" i="30"/>
  <c r="N89" i="30"/>
  <c r="K89" i="30"/>
  <c r="L89" i="30" s="1"/>
  <c r="I89" i="30"/>
  <c r="H89" i="30"/>
  <c r="E89" i="30"/>
  <c r="F89" i="30" s="1"/>
  <c r="N88" i="30"/>
  <c r="O88" i="30" s="1"/>
  <c r="L88" i="30"/>
  <c r="K88" i="30"/>
  <c r="I88" i="30"/>
  <c r="H88" i="30"/>
  <c r="E88" i="30"/>
  <c r="F88" i="30" s="1"/>
  <c r="N87" i="30"/>
  <c r="O87" i="30" s="1"/>
  <c r="K87" i="30"/>
  <c r="L87" i="30" s="1"/>
  <c r="H87" i="30"/>
  <c r="I87" i="30" s="1"/>
  <c r="E87" i="30"/>
  <c r="F87" i="30" s="1"/>
  <c r="N86" i="30"/>
  <c r="O86" i="30" s="1"/>
  <c r="K86" i="30"/>
  <c r="L86" i="30" s="1"/>
  <c r="H86" i="30"/>
  <c r="I86" i="30" s="1"/>
  <c r="E86" i="30"/>
  <c r="F86" i="30" s="1"/>
  <c r="O85" i="30"/>
  <c r="N85" i="30"/>
  <c r="K85" i="30"/>
  <c r="L85" i="30" s="1"/>
  <c r="I85" i="30"/>
  <c r="H85" i="30"/>
  <c r="E85" i="30"/>
  <c r="F85" i="30" s="1"/>
  <c r="N84" i="30"/>
  <c r="O84" i="30" s="1"/>
  <c r="K84" i="30"/>
  <c r="L84" i="30" s="1"/>
  <c r="I84" i="30"/>
  <c r="H84" i="30"/>
  <c r="E84" i="30"/>
  <c r="F84" i="30" s="1"/>
  <c r="O83" i="30"/>
  <c r="N83" i="30"/>
  <c r="K83" i="30"/>
  <c r="L83" i="30" s="1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N81" i="30"/>
  <c r="O81" i="30" s="1"/>
  <c r="K81" i="30"/>
  <c r="L81" i="30" s="1"/>
  <c r="I81" i="30"/>
  <c r="H81" i="30"/>
  <c r="E81" i="30"/>
  <c r="F81" i="30" s="1"/>
  <c r="O80" i="30"/>
  <c r="N80" i="30"/>
  <c r="L80" i="30"/>
  <c r="K80" i="30"/>
  <c r="I80" i="30"/>
  <c r="H80" i="30"/>
  <c r="E80" i="30"/>
  <c r="F80" i="30" s="1"/>
  <c r="N79" i="30"/>
  <c r="O79" i="30" s="1"/>
  <c r="K79" i="30"/>
  <c r="L79" i="30" s="1"/>
  <c r="H79" i="30"/>
  <c r="I79" i="30" s="1"/>
  <c r="E79" i="30"/>
  <c r="F79" i="30" s="1"/>
  <c r="O78" i="30"/>
  <c r="N78" i="30"/>
  <c r="K78" i="30"/>
  <c r="L78" i="30" s="1"/>
  <c r="H78" i="30"/>
  <c r="I78" i="30" s="1"/>
  <c r="E78" i="30"/>
  <c r="F78" i="30" s="1"/>
  <c r="O77" i="30"/>
  <c r="N77" i="30"/>
  <c r="K77" i="30"/>
  <c r="L77" i="30" s="1"/>
  <c r="I77" i="30"/>
  <c r="H77" i="30"/>
  <c r="E77" i="30"/>
  <c r="F77" i="30" s="1"/>
  <c r="N76" i="30"/>
  <c r="O76" i="30" s="1"/>
  <c r="K76" i="30"/>
  <c r="L76" i="30" s="1"/>
  <c r="I76" i="30"/>
  <c r="H76" i="30"/>
  <c r="E76" i="30"/>
  <c r="F76" i="30" s="1"/>
  <c r="O75" i="30"/>
  <c r="N75" i="30"/>
  <c r="K75" i="30"/>
  <c r="L75" i="30" s="1"/>
  <c r="H75" i="30"/>
  <c r="I75" i="30" s="1"/>
  <c r="E75" i="30"/>
  <c r="F75" i="30" s="1"/>
  <c r="N74" i="30"/>
  <c r="N33" i="30" s="1"/>
  <c r="K74" i="30"/>
  <c r="K33" i="30" s="1"/>
  <c r="H74" i="30"/>
  <c r="I74" i="30" s="1"/>
  <c r="I33" i="30" s="1"/>
  <c r="E74" i="30"/>
  <c r="F74" i="30" s="1"/>
  <c r="F33" i="30" s="1"/>
  <c r="N73" i="30"/>
  <c r="N32" i="30" s="1"/>
  <c r="K73" i="30"/>
  <c r="L73" i="30" s="1"/>
  <c r="L32" i="30" s="1"/>
  <c r="I73" i="30"/>
  <c r="H73" i="30"/>
  <c r="E73" i="30"/>
  <c r="F73" i="30" s="1"/>
  <c r="F32" i="30" s="1"/>
  <c r="O72" i="30"/>
  <c r="N72" i="30"/>
  <c r="L72" i="30"/>
  <c r="K72" i="30"/>
  <c r="I72" i="30"/>
  <c r="H72" i="30"/>
  <c r="E72" i="30"/>
  <c r="F72" i="30" s="1"/>
  <c r="F22" i="30" s="1"/>
  <c r="O71" i="30"/>
  <c r="N71" i="30"/>
  <c r="K71" i="30"/>
  <c r="K91" i="30" s="1"/>
  <c r="H71" i="30"/>
  <c r="H91" i="30" s="1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L63" i="30"/>
  <c r="K63" i="30"/>
  <c r="I63" i="30"/>
  <c r="H63" i="30"/>
  <c r="F63" i="30"/>
  <c r="E63" i="30"/>
  <c r="O62" i="30"/>
  <c r="N62" i="30"/>
  <c r="L62" i="30"/>
  <c r="K62" i="30"/>
  <c r="H62" i="30"/>
  <c r="I62" i="30" s="1"/>
  <c r="F62" i="30"/>
  <c r="E62" i="30"/>
  <c r="O61" i="30"/>
  <c r="N61" i="30"/>
  <c r="L61" i="30"/>
  <c r="K61" i="30"/>
  <c r="H61" i="30"/>
  <c r="I61" i="30" s="1"/>
  <c r="F61" i="30"/>
  <c r="E61" i="30"/>
  <c r="N60" i="30"/>
  <c r="O60" i="30" s="1"/>
  <c r="K60" i="30"/>
  <c r="L60" i="30" s="1"/>
  <c r="H60" i="30"/>
  <c r="I60" i="30" s="1"/>
  <c r="F60" i="30"/>
  <c r="E60" i="30"/>
  <c r="O59" i="30"/>
  <c r="N59" i="30"/>
  <c r="L59" i="30"/>
  <c r="K59" i="30"/>
  <c r="H59" i="30"/>
  <c r="I59" i="30" s="1"/>
  <c r="F59" i="30"/>
  <c r="E59" i="30"/>
  <c r="O58" i="30"/>
  <c r="N58" i="30"/>
  <c r="L58" i="30"/>
  <c r="K58" i="30"/>
  <c r="H58" i="30"/>
  <c r="I58" i="30" s="1"/>
  <c r="F58" i="30"/>
  <c r="E58" i="30"/>
  <c r="N57" i="30"/>
  <c r="O57" i="30" s="1"/>
  <c r="L57" i="30"/>
  <c r="K57" i="30"/>
  <c r="H57" i="30"/>
  <c r="I57" i="30" s="1"/>
  <c r="F57" i="30"/>
  <c r="E57" i="30"/>
  <c r="N56" i="30"/>
  <c r="O56" i="30" s="1"/>
  <c r="K56" i="30"/>
  <c r="L56" i="30" s="1"/>
  <c r="H56" i="30"/>
  <c r="I56" i="30" s="1"/>
  <c r="F56" i="30"/>
  <c r="E56" i="30"/>
  <c r="O55" i="30"/>
  <c r="N55" i="30"/>
  <c r="L55" i="30"/>
  <c r="K55" i="30"/>
  <c r="H55" i="30"/>
  <c r="I55" i="30" s="1"/>
  <c r="F55" i="30"/>
  <c r="E55" i="30"/>
  <c r="N54" i="30"/>
  <c r="O54" i="30" s="1"/>
  <c r="L54" i="30"/>
  <c r="K54" i="30"/>
  <c r="H54" i="30"/>
  <c r="I54" i="30" s="1"/>
  <c r="F54" i="30"/>
  <c r="E54" i="30"/>
  <c r="N53" i="30"/>
  <c r="O53" i="30" s="1"/>
  <c r="L53" i="30"/>
  <c r="K53" i="30"/>
  <c r="H53" i="30"/>
  <c r="I53" i="30" s="1"/>
  <c r="F53" i="30"/>
  <c r="E53" i="30"/>
  <c r="O52" i="30"/>
  <c r="N52" i="30"/>
  <c r="K52" i="30"/>
  <c r="L52" i="30" s="1"/>
  <c r="H52" i="30"/>
  <c r="I52" i="30" s="1"/>
  <c r="F52" i="30"/>
  <c r="E52" i="30"/>
  <c r="N51" i="30"/>
  <c r="O51" i="30" s="1"/>
  <c r="L51" i="30"/>
  <c r="K51" i="30"/>
  <c r="H51" i="30"/>
  <c r="I51" i="30" s="1"/>
  <c r="F51" i="30"/>
  <c r="E51" i="30"/>
  <c r="N50" i="30"/>
  <c r="O50" i="30" s="1"/>
  <c r="L50" i="30"/>
  <c r="K50" i="30"/>
  <c r="H50" i="30"/>
  <c r="I50" i="30" s="1"/>
  <c r="F50" i="30"/>
  <c r="E50" i="30"/>
  <c r="O49" i="30"/>
  <c r="N49" i="30"/>
  <c r="L49" i="30"/>
  <c r="K49" i="30"/>
  <c r="H49" i="30"/>
  <c r="I49" i="30" s="1"/>
  <c r="F49" i="30"/>
  <c r="E49" i="30"/>
  <c r="O48" i="30"/>
  <c r="N48" i="30"/>
  <c r="K48" i="30"/>
  <c r="L48" i="30" s="1"/>
  <c r="H48" i="30"/>
  <c r="I48" i="30" s="1"/>
  <c r="F48" i="30"/>
  <c r="E48" i="30"/>
  <c r="N47" i="30"/>
  <c r="O47" i="30" s="1"/>
  <c r="L47" i="30"/>
  <c r="K47" i="30"/>
  <c r="H47" i="30"/>
  <c r="I47" i="30" s="1"/>
  <c r="F47" i="30"/>
  <c r="E47" i="30"/>
  <c r="O46" i="30"/>
  <c r="N46" i="30"/>
  <c r="L46" i="30"/>
  <c r="L36" i="30" s="1"/>
  <c r="K46" i="30"/>
  <c r="H46" i="30"/>
  <c r="I46" i="30" s="1"/>
  <c r="I36" i="30" s="1"/>
  <c r="F46" i="30"/>
  <c r="F36" i="30" s="1"/>
  <c r="E46" i="30"/>
  <c r="O45" i="30"/>
  <c r="N45" i="30"/>
  <c r="L45" i="30"/>
  <c r="L30" i="30" s="1"/>
  <c r="K45" i="30"/>
  <c r="H45" i="30"/>
  <c r="I45" i="30" s="1"/>
  <c r="I30" i="30" s="1"/>
  <c r="F45" i="30"/>
  <c r="E45" i="30"/>
  <c r="N44" i="30"/>
  <c r="N64" i="30" s="1"/>
  <c r="K44" i="30"/>
  <c r="K64" i="30" s="1"/>
  <c r="H44" i="30"/>
  <c r="H64" i="30" s="1"/>
  <c r="F44" i="30"/>
  <c r="F64" i="30" s="1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K36" i="30"/>
  <c r="J36" i="30"/>
  <c r="H36" i="30"/>
  <c r="G36" i="30"/>
  <c r="E36" i="30"/>
  <c r="D36" i="30"/>
  <c r="C36" i="30"/>
  <c r="B36" i="30"/>
  <c r="M35" i="30"/>
  <c r="K35" i="30"/>
  <c r="J35" i="30"/>
  <c r="H35" i="30"/>
  <c r="G35" i="30"/>
  <c r="E35" i="30"/>
  <c r="D35" i="30"/>
  <c r="C35" i="30"/>
  <c r="B35" i="30"/>
  <c r="O34" i="30"/>
  <c r="N34" i="30"/>
  <c r="M34" i="30"/>
  <c r="K34" i="30"/>
  <c r="J34" i="30"/>
  <c r="H34" i="30"/>
  <c r="G34" i="30"/>
  <c r="E34" i="30"/>
  <c r="D34" i="30"/>
  <c r="C34" i="30"/>
  <c r="B34" i="30"/>
  <c r="M33" i="30"/>
  <c r="J33" i="30"/>
  <c r="H33" i="30"/>
  <c r="G33" i="30"/>
  <c r="E33" i="30"/>
  <c r="D33" i="30"/>
  <c r="C33" i="30"/>
  <c r="B33" i="30"/>
  <c r="M32" i="30"/>
  <c r="J32" i="30"/>
  <c r="I32" i="30"/>
  <c r="H32" i="30"/>
  <c r="G32" i="30"/>
  <c r="E32" i="30"/>
  <c r="D32" i="30"/>
  <c r="C32" i="30"/>
  <c r="B32" i="30"/>
  <c r="M31" i="30"/>
  <c r="J31" i="30"/>
  <c r="H31" i="30"/>
  <c r="G31" i="30"/>
  <c r="E31" i="30"/>
  <c r="D31" i="30"/>
  <c r="C31" i="30"/>
  <c r="B31" i="30"/>
  <c r="O30" i="30"/>
  <c r="N30" i="30"/>
  <c r="M30" i="30"/>
  <c r="K30" i="30"/>
  <c r="J30" i="30"/>
  <c r="H30" i="30"/>
  <c r="G30" i="30"/>
  <c r="F30" i="30"/>
  <c r="E30" i="30"/>
  <c r="D30" i="30"/>
  <c r="C30" i="30"/>
  <c r="B30" i="30"/>
  <c r="N29" i="30"/>
  <c r="M29" i="30"/>
  <c r="K29" i="30"/>
  <c r="J29" i="30"/>
  <c r="H29" i="30"/>
  <c r="G29" i="30"/>
  <c r="E29" i="30"/>
  <c r="D29" i="30"/>
  <c r="C29" i="30"/>
  <c r="B29" i="30"/>
  <c r="M28" i="30"/>
  <c r="K28" i="30"/>
  <c r="J28" i="30"/>
  <c r="H28" i="30"/>
  <c r="G28" i="30"/>
  <c r="E28" i="30"/>
  <c r="D28" i="30"/>
  <c r="C28" i="30"/>
  <c r="B28" i="30"/>
  <c r="N27" i="30"/>
  <c r="M27" i="30"/>
  <c r="K27" i="30"/>
  <c r="J27" i="30"/>
  <c r="H27" i="30"/>
  <c r="G27" i="30"/>
  <c r="F27" i="30"/>
  <c r="E27" i="30"/>
  <c r="D27" i="30"/>
  <c r="C27" i="30"/>
  <c r="B27" i="30"/>
  <c r="O26" i="30"/>
  <c r="N26" i="30"/>
  <c r="M26" i="30"/>
  <c r="K26" i="30"/>
  <c r="J26" i="30"/>
  <c r="H26" i="30"/>
  <c r="G26" i="30"/>
  <c r="E26" i="30"/>
  <c r="D26" i="30"/>
  <c r="C26" i="30"/>
  <c r="B26" i="30"/>
  <c r="M25" i="30"/>
  <c r="L25" i="30"/>
  <c r="K25" i="30"/>
  <c r="J25" i="30"/>
  <c r="I25" i="30"/>
  <c r="H25" i="30"/>
  <c r="G25" i="30"/>
  <c r="E25" i="30"/>
  <c r="D25" i="30"/>
  <c r="C25" i="30"/>
  <c r="B25" i="30"/>
  <c r="O24" i="30"/>
  <c r="N24" i="30"/>
  <c r="M24" i="30"/>
  <c r="K24" i="30"/>
  <c r="J24" i="30"/>
  <c r="H24" i="30"/>
  <c r="G24" i="30"/>
  <c r="E24" i="30"/>
  <c r="D24" i="30"/>
  <c r="C24" i="30"/>
  <c r="B24" i="30"/>
  <c r="M23" i="30"/>
  <c r="L23" i="30"/>
  <c r="K23" i="30"/>
  <c r="J23" i="30"/>
  <c r="H23" i="30"/>
  <c r="G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E22" i="30"/>
  <c r="D22" i="30"/>
  <c r="C22" i="30"/>
  <c r="B22" i="30"/>
  <c r="O21" i="30"/>
  <c r="N21" i="30"/>
  <c r="M21" i="30"/>
  <c r="K21" i="30"/>
  <c r="J21" i="30"/>
  <c r="H21" i="30"/>
  <c r="G21" i="30"/>
  <c r="E21" i="30"/>
  <c r="D21" i="30"/>
  <c r="C21" i="30"/>
  <c r="B21" i="30"/>
  <c r="O20" i="30"/>
  <c r="N20" i="30"/>
  <c r="M20" i="30"/>
  <c r="L20" i="30"/>
  <c r="K20" i="30"/>
  <c r="J20" i="30"/>
  <c r="H20" i="30"/>
  <c r="G20" i="30"/>
  <c r="E20" i="30"/>
  <c r="D20" i="30"/>
  <c r="C20" i="30"/>
  <c r="B20" i="30"/>
  <c r="M19" i="30"/>
  <c r="L19" i="30"/>
  <c r="K19" i="30"/>
  <c r="J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H197" i="29"/>
  <c r="I197" i="29" s="1"/>
  <c r="F197" i="29"/>
  <c r="E197" i="29"/>
  <c r="N196" i="29"/>
  <c r="O196" i="29" s="1"/>
  <c r="K196" i="29"/>
  <c r="L196" i="29" s="1"/>
  <c r="H196" i="29"/>
  <c r="I196" i="29" s="1"/>
  <c r="F196" i="29"/>
  <c r="E196" i="29"/>
  <c r="N195" i="29"/>
  <c r="O195" i="29" s="1"/>
  <c r="K195" i="29"/>
  <c r="L195" i="29" s="1"/>
  <c r="H195" i="29"/>
  <c r="I195" i="29" s="1"/>
  <c r="F195" i="29"/>
  <c r="E195" i="29"/>
  <c r="N194" i="29"/>
  <c r="O194" i="29" s="1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N189" i="29"/>
  <c r="O189" i="29" s="1"/>
  <c r="K189" i="29"/>
  <c r="L189" i="29" s="1"/>
  <c r="H189" i="29"/>
  <c r="I189" i="29" s="1"/>
  <c r="F189" i="29"/>
  <c r="E189" i="29"/>
  <c r="N188" i="29"/>
  <c r="O188" i="29" s="1"/>
  <c r="K188" i="29"/>
  <c r="L188" i="29" s="1"/>
  <c r="H188" i="29"/>
  <c r="I188" i="29" s="1"/>
  <c r="F188" i="29"/>
  <c r="E188" i="29"/>
  <c r="N187" i="29"/>
  <c r="O187" i="29" s="1"/>
  <c r="K187" i="29"/>
  <c r="L187" i="29" s="1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O183" i="29"/>
  <c r="N183" i="29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H181" i="29"/>
  <c r="I181" i="29" s="1"/>
  <c r="F181" i="29"/>
  <c r="E181" i="29"/>
  <c r="N180" i="29"/>
  <c r="O180" i="29" s="1"/>
  <c r="K180" i="29"/>
  <c r="L180" i="29" s="1"/>
  <c r="H180" i="29"/>
  <c r="I180" i="29" s="1"/>
  <c r="F180" i="29"/>
  <c r="E180" i="29"/>
  <c r="N179" i="29"/>
  <c r="K179" i="29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K169" i="29"/>
  <c r="L169" i="29" s="1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K165" i="29"/>
  <c r="L165" i="29" s="1"/>
  <c r="H165" i="29"/>
  <c r="I165" i="29" s="1"/>
  <c r="F165" i="29"/>
  <c r="E165" i="29"/>
  <c r="N164" i="29"/>
  <c r="O164" i="29" s="1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O162" i="29"/>
  <c r="N162" i="29"/>
  <c r="K162" i="29"/>
  <c r="L162" i="29" s="1"/>
  <c r="H162" i="29"/>
  <c r="I162" i="29" s="1"/>
  <c r="F162" i="29"/>
  <c r="E162" i="29"/>
  <c r="N161" i="29"/>
  <c r="O161" i="29" s="1"/>
  <c r="K161" i="29"/>
  <c r="L161" i="29" s="1"/>
  <c r="H161" i="29"/>
  <c r="I161" i="29" s="1"/>
  <c r="F161" i="29"/>
  <c r="E161" i="29"/>
  <c r="N160" i="29"/>
  <c r="O160" i="29" s="1"/>
  <c r="K160" i="29"/>
  <c r="L160" i="29" s="1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O154" i="29"/>
  <c r="N154" i="29"/>
  <c r="K154" i="29"/>
  <c r="L154" i="29" s="1"/>
  <c r="H154" i="29"/>
  <c r="I154" i="29" s="1"/>
  <c r="F154" i="29"/>
  <c r="E154" i="29"/>
  <c r="O153" i="29"/>
  <c r="N153" i="29"/>
  <c r="K153" i="29"/>
  <c r="L153" i="29" s="1"/>
  <c r="H153" i="29"/>
  <c r="I153" i="29" s="1"/>
  <c r="F153" i="29"/>
  <c r="E153" i="29"/>
  <c r="O152" i="29"/>
  <c r="N152" i="29"/>
  <c r="K152" i="29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N142" i="29"/>
  <c r="O142" i="29" s="1"/>
  <c r="K142" i="29"/>
  <c r="L142" i="29" s="1"/>
  <c r="I142" i="29"/>
  <c r="H142" i="29"/>
  <c r="E142" i="29"/>
  <c r="F142" i="29" s="1"/>
  <c r="N141" i="29"/>
  <c r="O141" i="29" s="1"/>
  <c r="K141" i="29"/>
  <c r="L141" i="29" s="1"/>
  <c r="H141" i="29"/>
  <c r="I141" i="29" s="1"/>
  <c r="E141" i="29"/>
  <c r="F141" i="29" s="1"/>
  <c r="N140" i="29"/>
  <c r="O140" i="29" s="1"/>
  <c r="K140" i="29"/>
  <c r="L140" i="29" s="1"/>
  <c r="H140" i="29"/>
  <c r="I140" i="29" s="1"/>
  <c r="E140" i="29"/>
  <c r="F140" i="29" s="1"/>
  <c r="N139" i="29"/>
  <c r="O139" i="29" s="1"/>
  <c r="K139" i="29"/>
  <c r="L139" i="29" s="1"/>
  <c r="H139" i="29"/>
  <c r="I139" i="29" s="1"/>
  <c r="E139" i="29"/>
  <c r="F139" i="29" s="1"/>
  <c r="N138" i="29"/>
  <c r="O138" i="29" s="1"/>
  <c r="K138" i="29"/>
  <c r="L138" i="29" s="1"/>
  <c r="H138" i="29"/>
  <c r="I138" i="29" s="1"/>
  <c r="E138" i="29"/>
  <c r="F138" i="29" s="1"/>
  <c r="N137" i="29"/>
  <c r="O137" i="29" s="1"/>
  <c r="K137" i="29"/>
  <c r="L137" i="29" s="1"/>
  <c r="H137" i="29"/>
  <c r="I137" i="29" s="1"/>
  <c r="E137" i="29"/>
  <c r="F137" i="29" s="1"/>
  <c r="N136" i="29"/>
  <c r="O136" i="29" s="1"/>
  <c r="K136" i="29"/>
  <c r="L136" i="29" s="1"/>
  <c r="H136" i="29"/>
  <c r="I136" i="29" s="1"/>
  <c r="E136" i="29"/>
  <c r="F136" i="29" s="1"/>
  <c r="O135" i="29"/>
  <c r="N135" i="29"/>
  <c r="K135" i="29"/>
  <c r="L135" i="29" s="1"/>
  <c r="I135" i="29"/>
  <c r="H135" i="29"/>
  <c r="E135" i="29"/>
  <c r="F135" i="29" s="1"/>
  <c r="N134" i="29"/>
  <c r="O134" i="29" s="1"/>
  <c r="L134" i="29"/>
  <c r="K134" i="29"/>
  <c r="I134" i="29"/>
  <c r="H134" i="29"/>
  <c r="E134" i="29"/>
  <c r="F134" i="29" s="1"/>
  <c r="N133" i="29"/>
  <c r="O133" i="29" s="1"/>
  <c r="K133" i="29"/>
  <c r="L133" i="29" s="1"/>
  <c r="H133" i="29"/>
  <c r="I133" i="29" s="1"/>
  <c r="E133" i="29"/>
  <c r="F133" i="29" s="1"/>
  <c r="N132" i="29"/>
  <c r="O132" i="29" s="1"/>
  <c r="K132" i="29"/>
  <c r="L132" i="29" s="1"/>
  <c r="H132" i="29"/>
  <c r="I132" i="29" s="1"/>
  <c r="E132" i="29"/>
  <c r="F132" i="29" s="1"/>
  <c r="O131" i="29"/>
  <c r="N131" i="29"/>
  <c r="K131" i="29"/>
  <c r="L131" i="29" s="1"/>
  <c r="H131" i="29"/>
  <c r="I131" i="29" s="1"/>
  <c r="E131" i="29"/>
  <c r="F131" i="29" s="1"/>
  <c r="N130" i="29"/>
  <c r="O130" i="29" s="1"/>
  <c r="K130" i="29"/>
  <c r="L130" i="29" s="1"/>
  <c r="H130" i="29"/>
  <c r="I130" i="29" s="1"/>
  <c r="E130" i="29"/>
  <c r="F130" i="29" s="1"/>
  <c r="N129" i="29"/>
  <c r="O129" i="29" s="1"/>
  <c r="K129" i="29"/>
  <c r="L129" i="29" s="1"/>
  <c r="H129" i="29"/>
  <c r="I129" i="29" s="1"/>
  <c r="E129" i="29"/>
  <c r="F129" i="29" s="1"/>
  <c r="N128" i="29"/>
  <c r="O128" i="29" s="1"/>
  <c r="K128" i="29"/>
  <c r="L128" i="29" s="1"/>
  <c r="H128" i="29"/>
  <c r="I128" i="29" s="1"/>
  <c r="E128" i="29"/>
  <c r="F128" i="29" s="1"/>
  <c r="N127" i="29"/>
  <c r="O127" i="29" s="1"/>
  <c r="K127" i="29"/>
  <c r="L127" i="29" s="1"/>
  <c r="I127" i="29"/>
  <c r="H127" i="29"/>
  <c r="E127" i="29"/>
  <c r="F127" i="29" s="1"/>
  <c r="N126" i="29"/>
  <c r="O126" i="29" s="1"/>
  <c r="K126" i="29"/>
  <c r="L126" i="29" s="1"/>
  <c r="I126" i="29"/>
  <c r="H126" i="29"/>
  <c r="E126" i="29"/>
  <c r="F126" i="29" s="1"/>
  <c r="N125" i="29"/>
  <c r="O125" i="29" s="1"/>
  <c r="K125" i="29"/>
  <c r="L125" i="29" s="1"/>
  <c r="L145" i="29" s="1"/>
  <c r="H125" i="29"/>
  <c r="E125" i="29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L35" i="29" s="1"/>
  <c r="H116" i="29"/>
  <c r="I116" i="29" s="1"/>
  <c r="I35" i="29" s="1"/>
  <c r="E116" i="29"/>
  <c r="F116" i="29" s="1"/>
  <c r="F35" i="29" s="1"/>
  <c r="N115" i="29"/>
  <c r="N34" i="29" s="1"/>
  <c r="K115" i="29"/>
  <c r="K34" i="29" s="1"/>
  <c r="H115" i="29"/>
  <c r="I115" i="29" s="1"/>
  <c r="I34" i="29" s="1"/>
  <c r="E115" i="29"/>
  <c r="F115" i="29" s="1"/>
  <c r="F34" i="29" s="1"/>
  <c r="N114" i="29"/>
  <c r="O114" i="29" s="1"/>
  <c r="O33" i="29" s="1"/>
  <c r="L114" i="29"/>
  <c r="K114" i="29"/>
  <c r="H114" i="29"/>
  <c r="H33" i="29" s="1"/>
  <c r="E114" i="29"/>
  <c r="F114" i="29" s="1"/>
  <c r="F33" i="29" s="1"/>
  <c r="O113" i="29"/>
  <c r="N113" i="29"/>
  <c r="K113" i="29"/>
  <c r="K32" i="29" s="1"/>
  <c r="H113" i="29"/>
  <c r="I113" i="29" s="1"/>
  <c r="I32" i="29" s="1"/>
  <c r="E113" i="29"/>
  <c r="F113" i="29" s="1"/>
  <c r="F32" i="29" s="1"/>
  <c r="N112" i="29"/>
  <c r="O112" i="29" s="1"/>
  <c r="O31" i="29" s="1"/>
  <c r="L112" i="29"/>
  <c r="K112" i="29"/>
  <c r="I112" i="29"/>
  <c r="I31" i="29" s="1"/>
  <c r="H112" i="29"/>
  <c r="E112" i="29"/>
  <c r="F112" i="29" s="1"/>
  <c r="F31" i="29" s="1"/>
  <c r="N111" i="29"/>
  <c r="O111" i="29" s="1"/>
  <c r="O30" i="29" s="1"/>
  <c r="L111" i="29"/>
  <c r="K111" i="29"/>
  <c r="H111" i="29"/>
  <c r="I111" i="29" s="1"/>
  <c r="I30" i="29" s="1"/>
  <c r="E111" i="29"/>
  <c r="F111" i="29" s="1"/>
  <c r="F30" i="29" s="1"/>
  <c r="O110" i="29"/>
  <c r="N110" i="29"/>
  <c r="K110" i="29"/>
  <c r="L110" i="29" s="1"/>
  <c r="L29" i="29" s="1"/>
  <c r="H110" i="29"/>
  <c r="I110" i="29" s="1"/>
  <c r="I29" i="29" s="1"/>
  <c r="E110" i="29"/>
  <c r="F110" i="29" s="1"/>
  <c r="F29" i="29" s="1"/>
  <c r="N109" i="29"/>
  <c r="O109" i="29" s="1"/>
  <c r="O28" i="29" s="1"/>
  <c r="L109" i="29"/>
  <c r="K109" i="29"/>
  <c r="H109" i="29"/>
  <c r="I109" i="29" s="1"/>
  <c r="I28" i="29" s="1"/>
  <c r="E109" i="29"/>
  <c r="F109" i="29" s="1"/>
  <c r="F28" i="29" s="1"/>
  <c r="N108" i="29"/>
  <c r="O108" i="29" s="1"/>
  <c r="O27" i="29" s="1"/>
  <c r="K108" i="29"/>
  <c r="L108" i="29" s="1"/>
  <c r="L27" i="29" s="1"/>
  <c r="H108" i="29"/>
  <c r="I108" i="29" s="1"/>
  <c r="I27" i="29" s="1"/>
  <c r="E108" i="29"/>
  <c r="F108" i="29" s="1"/>
  <c r="F27" i="29" s="1"/>
  <c r="N107" i="29"/>
  <c r="O107" i="29" s="1"/>
  <c r="L107" i="29"/>
  <c r="K107" i="29"/>
  <c r="H107" i="29"/>
  <c r="I107" i="29" s="1"/>
  <c r="E107" i="29"/>
  <c r="F107" i="29" s="1"/>
  <c r="O106" i="29"/>
  <c r="N106" i="29"/>
  <c r="K106" i="29"/>
  <c r="L106" i="29" s="1"/>
  <c r="H106" i="29"/>
  <c r="I106" i="29" s="1"/>
  <c r="E106" i="29"/>
  <c r="F106" i="29" s="1"/>
  <c r="N105" i="29"/>
  <c r="O105" i="29" s="1"/>
  <c r="O24" i="29" s="1"/>
  <c r="L105" i="29"/>
  <c r="K105" i="29"/>
  <c r="H105" i="29"/>
  <c r="I105" i="29" s="1"/>
  <c r="I24" i="29" s="1"/>
  <c r="E105" i="29"/>
  <c r="F105" i="29" s="1"/>
  <c r="F24" i="29" s="1"/>
  <c r="N104" i="29"/>
  <c r="O104" i="29" s="1"/>
  <c r="O23" i="29" s="1"/>
  <c r="K104" i="29"/>
  <c r="L104" i="29" s="1"/>
  <c r="L23" i="29" s="1"/>
  <c r="I104" i="29"/>
  <c r="H104" i="29"/>
  <c r="E104" i="29"/>
  <c r="F104" i="29" s="1"/>
  <c r="F23" i="29" s="1"/>
  <c r="N103" i="29"/>
  <c r="O103" i="29" s="1"/>
  <c r="O22" i="29" s="1"/>
  <c r="K103" i="29"/>
  <c r="L103" i="29" s="1"/>
  <c r="L22" i="29" s="1"/>
  <c r="H103" i="29"/>
  <c r="I103" i="29" s="1"/>
  <c r="I22" i="29" s="1"/>
  <c r="E103" i="29"/>
  <c r="F103" i="29" s="1"/>
  <c r="F22" i="29" s="1"/>
  <c r="O102" i="29"/>
  <c r="N102" i="29"/>
  <c r="K102" i="29"/>
  <c r="L102" i="29" s="1"/>
  <c r="L21" i="29" s="1"/>
  <c r="H102" i="29"/>
  <c r="I102" i="29" s="1"/>
  <c r="I21" i="29" s="1"/>
  <c r="E102" i="29"/>
  <c r="F102" i="29" s="1"/>
  <c r="F21" i="29" s="1"/>
  <c r="N101" i="29"/>
  <c r="O101" i="29" s="1"/>
  <c r="K101" i="29"/>
  <c r="L101" i="29" s="1"/>
  <c r="H101" i="29"/>
  <c r="I101" i="29" s="1"/>
  <c r="E101" i="29"/>
  <c r="F101" i="29" s="1"/>
  <c r="N100" i="29"/>
  <c r="O100" i="29" s="1"/>
  <c r="O19" i="29" s="1"/>
  <c r="K100" i="29"/>
  <c r="L100" i="29" s="1"/>
  <c r="L19" i="29" s="1"/>
  <c r="I100" i="29"/>
  <c r="H100" i="29"/>
  <c r="E100" i="29"/>
  <c r="F100" i="29" s="1"/>
  <c r="F19" i="29" s="1"/>
  <c r="N99" i="29"/>
  <c r="O99" i="29" s="1"/>
  <c r="K99" i="29"/>
  <c r="L99" i="29" s="1"/>
  <c r="H99" i="29"/>
  <c r="I99" i="29" s="1"/>
  <c r="E99" i="29"/>
  <c r="F99" i="29" s="1"/>
  <c r="N98" i="29"/>
  <c r="L98" i="29"/>
  <c r="K98" i="29"/>
  <c r="H98" i="29"/>
  <c r="H118" i="29" s="1"/>
  <c r="E98" i="29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H90" i="29"/>
  <c r="I90" i="29" s="1"/>
  <c r="E90" i="29"/>
  <c r="F90" i="29" s="1"/>
  <c r="O89" i="29"/>
  <c r="N89" i="29"/>
  <c r="L89" i="29"/>
  <c r="K89" i="29"/>
  <c r="I89" i="29"/>
  <c r="H89" i="29"/>
  <c r="E89" i="29"/>
  <c r="F89" i="29" s="1"/>
  <c r="N88" i="29"/>
  <c r="O88" i="29" s="1"/>
  <c r="K88" i="29"/>
  <c r="L88" i="29" s="1"/>
  <c r="H88" i="29"/>
  <c r="I88" i="29" s="1"/>
  <c r="E88" i="29"/>
  <c r="F88" i="29" s="1"/>
  <c r="N87" i="29"/>
  <c r="O87" i="29" s="1"/>
  <c r="K87" i="29"/>
  <c r="L87" i="29" s="1"/>
  <c r="H87" i="29"/>
  <c r="I87" i="29" s="1"/>
  <c r="E87" i="29"/>
  <c r="F87" i="29" s="1"/>
  <c r="N86" i="29"/>
  <c r="O86" i="29" s="1"/>
  <c r="K86" i="29"/>
  <c r="L86" i="29" s="1"/>
  <c r="H86" i="29"/>
  <c r="I86" i="29" s="1"/>
  <c r="E86" i="29"/>
  <c r="F86" i="29" s="1"/>
  <c r="N85" i="29"/>
  <c r="O85" i="29" s="1"/>
  <c r="K85" i="29"/>
  <c r="L85" i="29" s="1"/>
  <c r="I85" i="29"/>
  <c r="H85" i="29"/>
  <c r="E85" i="29"/>
  <c r="F85" i="29" s="1"/>
  <c r="O84" i="29"/>
  <c r="N84" i="29"/>
  <c r="L84" i="29"/>
  <c r="K84" i="29"/>
  <c r="H84" i="29"/>
  <c r="I84" i="29" s="1"/>
  <c r="E84" i="29"/>
  <c r="F84" i="29" s="1"/>
  <c r="N83" i="29"/>
  <c r="O83" i="29" s="1"/>
  <c r="K83" i="29"/>
  <c r="L83" i="29" s="1"/>
  <c r="H83" i="29"/>
  <c r="I83" i="29" s="1"/>
  <c r="E83" i="29"/>
  <c r="F83" i="29" s="1"/>
  <c r="N82" i="29"/>
  <c r="O82" i="29" s="1"/>
  <c r="L82" i="29"/>
  <c r="K82" i="29"/>
  <c r="H82" i="29"/>
  <c r="I82" i="29" s="1"/>
  <c r="E82" i="29"/>
  <c r="F82" i="29" s="1"/>
  <c r="N81" i="29"/>
  <c r="O81" i="29" s="1"/>
  <c r="K81" i="29"/>
  <c r="L81" i="29" s="1"/>
  <c r="I81" i="29"/>
  <c r="H81" i="29"/>
  <c r="E81" i="29"/>
  <c r="F81" i="29" s="1"/>
  <c r="N80" i="29"/>
  <c r="O80" i="29" s="1"/>
  <c r="K80" i="29"/>
  <c r="L80" i="29" s="1"/>
  <c r="H80" i="29"/>
  <c r="I80" i="29" s="1"/>
  <c r="E80" i="29"/>
  <c r="F80" i="29" s="1"/>
  <c r="O79" i="29"/>
  <c r="N79" i="29"/>
  <c r="K79" i="29"/>
  <c r="L79" i="29" s="1"/>
  <c r="H79" i="29"/>
  <c r="I79" i="29" s="1"/>
  <c r="E79" i="29"/>
  <c r="F79" i="29" s="1"/>
  <c r="N78" i="29"/>
  <c r="O78" i="29" s="1"/>
  <c r="K78" i="29"/>
  <c r="L78" i="29" s="1"/>
  <c r="H78" i="29"/>
  <c r="I78" i="29" s="1"/>
  <c r="E78" i="29"/>
  <c r="F78" i="29" s="1"/>
  <c r="N77" i="29"/>
  <c r="O77" i="29" s="1"/>
  <c r="K77" i="29"/>
  <c r="L77" i="29" s="1"/>
  <c r="I77" i="29"/>
  <c r="H77" i="29"/>
  <c r="E77" i="29"/>
  <c r="F77" i="29" s="1"/>
  <c r="N76" i="29"/>
  <c r="O76" i="29" s="1"/>
  <c r="K76" i="29"/>
  <c r="L76" i="29" s="1"/>
  <c r="H76" i="29"/>
  <c r="I76" i="29" s="1"/>
  <c r="E76" i="29"/>
  <c r="F76" i="29" s="1"/>
  <c r="N75" i="29"/>
  <c r="O75" i="29" s="1"/>
  <c r="L75" i="29"/>
  <c r="K75" i="29"/>
  <c r="H75" i="29"/>
  <c r="I75" i="29" s="1"/>
  <c r="E75" i="29"/>
  <c r="F75" i="29" s="1"/>
  <c r="N74" i="29"/>
  <c r="N36" i="29" s="1"/>
  <c r="K74" i="29"/>
  <c r="L74" i="29" s="1"/>
  <c r="L36" i="29" s="1"/>
  <c r="H74" i="29"/>
  <c r="I74" i="29" s="1"/>
  <c r="I36" i="29" s="1"/>
  <c r="E74" i="29"/>
  <c r="F74" i="29" s="1"/>
  <c r="F36" i="29" s="1"/>
  <c r="O73" i="29"/>
  <c r="O26" i="29" s="1"/>
  <c r="N73" i="29"/>
  <c r="L73" i="29"/>
  <c r="K73" i="29"/>
  <c r="H73" i="29"/>
  <c r="I73" i="29" s="1"/>
  <c r="I26" i="29" s="1"/>
  <c r="E73" i="29"/>
  <c r="F73" i="29" s="1"/>
  <c r="F26" i="29" s="1"/>
  <c r="N72" i="29"/>
  <c r="O72" i="29" s="1"/>
  <c r="O25" i="29" s="1"/>
  <c r="K72" i="29"/>
  <c r="L72" i="29" s="1"/>
  <c r="L25" i="29" s="1"/>
  <c r="I72" i="29"/>
  <c r="H72" i="29"/>
  <c r="E72" i="29"/>
  <c r="F72" i="29" s="1"/>
  <c r="F25" i="29" s="1"/>
  <c r="O71" i="29"/>
  <c r="N71" i="29"/>
  <c r="K71" i="29"/>
  <c r="H71" i="29"/>
  <c r="E71" i="29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N61" i="29"/>
  <c r="O61" i="29" s="1"/>
  <c r="K61" i="29"/>
  <c r="L61" i="29" s="1"/>
  <c r="H61" i="29"/>
  <c r="I61" i="29" s="1"/>
  <c r="E61" i="29"/>
  <c r="F61" i="29" s="1"/>
  <c r="O60" i="29"/>
  <c r="N60" i="29"/>
  <c r="K60" i="29"/>
  <c r="L60" i="29" s="1"/>
  <c r="H60" i="29"/>
  <c r="I60" i="29" s="1"/>
  <c r="E60" i="29"/>
  <c r="F60" i="29" s="1"/>
  <c r="N59" i="29"/>
  <c r="O59" i="29" s="1"/>
  <c r="K59" i="29"/>
  <c r="L59" i="29" s="1"/>
  <c r="I59" i="29"/>
  <c r="H59" i="29"/>
  <c r="E59" i="29"/>
  <c r="F59" i="29" s="1"/>
  <c r="N58" i="29"/>
  <c r="O58" i="29" s="1"/>
  <c r="K58" i="29"/>
  <c r="L58" i="29" s="1"/>
  <c r="H58" i="29"/>
  <c r="I58" i="29" s="1"/>
  <c r="E58" i="29"/>
  <c r="F58" i="29" s="1"/>
  <c r="N57" i="29"/>
  <c r="O57" i="29" s="1"/>
  <c r="L57" i="29"/>
  <c r="K57" i="29"/>
  <c r="H57" i="29"/>
  <c r="I57" i="29" s="1"/>
  <c r="E57" i="29"/>
  <c r="F57" i="29" s="1"/>
  <c r="O56" i="29"/>
  <c r="N56" i="29"/>
  <c r="K56" i="29"/>
  <c r="L56" i="29" s="1"/>
  <c r="H56" i="29"/>
  <c r="I56" i="29" s="1"/>
  <c r="E56" i="29"/>
  <c r="F56" i="29" s="1"/>
  <c r="N55" i="29"/>
  <c r="O55" i="29" s="1"/>
  <c r="L55" i="29"/>
  <c r="K55" i="29"/>
  <c r="I55" i="29"/>
  <c r="H55" i="29"/>
  <c r="E55" i="29"/>
  <c r="F55" i="29" s="1"/>
  <c r="N54" i="29"/>
  <c r="O54" i="29" s="1"/>
  <c r="K54" i="29"/>
  <c r="L54" i="29" s="1"/>
  <c r="H54" i="29"/>
  <c r="I54" i="29" s="1"/>
  <c r="E54" i="29"/>
  <c r="F54" i="29" s="1"/>
  <c r="N53" i="29"/>
  <c r="O53" i="29" s="1"/>
  <c r="K53" i="29"/>
  <c r="L53" i="29" s="1"/>
  <c r="H53" i="29"/>
  <c r="I53" i="29" s="1"/>
  <c r="E53" i="29"/>
  <c r="F53" i="29" s="1"/>
  <c r="O52" i="29"/>
  <c r="N52" i="29"/>
  <c r="K52" i="29"/>
  <c r="L52" i="29" s="1"/>
  <c r="H52" i="29"/>
  <c r="I52" i="29" s="1"/>
  <c r="E52" i="29"/>
  <c r="F52" i="29" s="1"/>
  <c r="N51" i="29"/>
  <c r="O51" i="29" s="1"/>
  <c r="K51" i="29"/>
  <c r="L51" i="29" s="1"/>
  <c r="I51" i="29"/>
  <c r="H51" i="29"/>
  <c r="E51" i="29"/>
  <c r="F51" i="29" s="1"/>
  <c r="N50" i="29"/>
  <c r="O50" i="29" s="1"/>
  <c r="L50" i="29"/>
  <c r="K50" i="29"/>
  <c r="H50" i="29"/>
  <c r="I50" i="29" s="1"/>
  <c r="E50" i="29"/>
  <c r="F50" i="29" s="1"/>
  <c r="N49" i="29"/>
  <c r="O49" i="29" s="1"/>
  <c r="K49" i="29"/>
  <c r="L49" i="29" s="1"/>
  <c r="H49" i="29"/>
  <c r="I49" i="29" s="1"/>
  <c r="E49" i="29"/>
  <c r="F49" i="29" s="1"/>
  <c r="N48" i="29"/>
  <c r="O48" i="29" s="1"/>
  <c r="L48" i="29"/>
  <c r="K48" i="29"/>
  <c r="H48" i="29"/>
  <c r="I48" i="29" s="1"/>
  <c r="E48" i="29"/>
  <c r="F48" i="29" s="1"/>
  <c r="O47" i="29"/>
  <c r="N47" i="29"/>
  <c r="K47" i="29"/>
  <c r="L47" i="29" s="1"/>
  <c r="I47" i="29"/>
  <c r="H47" i="29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K45" i="29"/>
  <c r="K18" i="29" s="1"/>
  <c r="H45" i="29"/>
  <c r="I45" i="29" s="1"/>
  <c r="I18" i="29" s="1"/>
  <c r="E45" i="29"/>
  <c r="F45" i="29" s="1"/>
  <c r="F18" i="29" s="1"/>
  <c r="N44" i="29"/>
  <c r="L44" i="29"/>
  <c r="K44" i="29"/>
  <c r="H44" i="29"/>
  <c r="E44" i="29"/>
  <c r="M42" i="29"/>
  <c r="J42" i="29"/>
  <c r="G42" i="29"/>
  <c r="D42" i="29"/>
  <c r="B42" i="29"/>
  <c r="M41" i="29"/>
  <c r="G41" i="29"/>
  <c r="M36" i="29"/>
  <c r="K36" i="29"/>
  <c r="J36" i="29"/>
  <c r="H36" i="29"/>
  <c r="G36" i="29"/>
  <c r="D36" i="29"/>
  <c r="C36" i="29"/>
  <c r="B36" i="29"/>
  <c r="O35" i="29"/>
  <c r="N35" i="29"/>
  <c r="M35" i="29"/>
  <c r="K35" i="29"/>
  <c r="J35" i="29"/>
  <c r="H35" i="29"/>
  <c r="G35" i="29"/>
  <c r="E35" i="29"/>
  <c r="D35" i="29"/>
  <c r="C35" i="29"/>
  <c r="B35" i="29"/>
  <c r="M34" i="29"/>
  <c r="J34" i="29"/>
  <c r="H34" i="29"/>
  <c r="G34" i="29"/>
  <c r="E34" i="29"/>
  <c r="D34" i="29"/>
  <c r="C34" i="29"/>
  <c r="B34" i="29"/>
  <c r="N33" i="29"/>
  <c r="M33" i="29"/>
  <c r="L33" i="29"/>
  <c r="K33" i="29"/>
  <c r="J33" i="29"/>
  <c r="G33" i="29"/>
  <c r="E33" i="29"/>
  <c r="D33" i="29"/>
  <c r="C33" i="29"/>
  <c r="B33" i="29"/>
  <c r="O32" i="29"/>
  <c r="N32" i="29"/>
  <c r="M32" i="29"/>
  <c r="J32" i="29"/>
  <c r="H32" i="29"/>
  <c r="G32" i="29"/>
  <c r="D32" i="29"/>
  <c r="C32" i="29"/>
  <c r="B32" i="29"/>
  <c r="M31" i="29"/>
  <c r="L31" i="29"/>
  <c r="K31" i="29"/>
  <c r="J31" i="29"/>
  <c r="H31" i="29"/>
  <c r="G31" i="29"/>
  <c r="E31" i="29"/>
  <c r="D31" i="29"/>
  <c r="C31" i="29"/>
  <c r="B31" i="29"/>
  <c r="M30" i="29"/>
  <c r="L30" i="29"/>
  <c r="K30" i="29"/>
  <c r="J30" i="29"/>
  <c r="G30" i="29"/>
  <c r="E30" i="29"/>
  <c r="D30" i="29"/>
  <c r="C30" i="29"/>
  <c r="B30" i="29"/>
  <c r="O29" i="29"/>
  <c r="N29" i="29"/>
  <c r="M29" i="29"/>
  <c r="K29" i="29"/>
  <c r="J29" i="29"/>
  <c r="H29" i="29"/>
  <c r="G29" i="29"/>
  <c r="E29" i="29"/>
  <c r="D29" i="29"/>
  <c r="C29" i="29"/>
  <c r="B29" i="29"/>
  <c r="N28" i="29"/>
  <c r="M28" i="29"/>
  <c r="L28" i="29"/>
  <c r="K28" i="29"/>
  <c r="J28" i="29"/>
  <c r="H28" i="29"/>
  <c r="G28" i="29"/>
  <c r="E28" i="29"/>
  <c r="D28" i="29"/>
  <c r="C28" i="29"/>
  <c r="B28" i="29"/>
  <c r="N27" i="29"/>
  <c r="M27" i="29"/>
  <c r="K27" i="29"/>
  <c r="J27" i="29"/>
  <c r="H27" i="29"/>
  <c r="G27" i="29"/>
  <c r="E27" i="29"/>
  <c r="D27" i="29"/>
  <c r="C27" i="29"/>
  <c r="B27" i="29"/>
  <c r="N26" i="29"/>
  <c r="M26" i="29"/>
  <c r="L26" i="29"/>
  <c r="K26" i="29"/>
  <c r="J26" i="29"/>
  <c r="H26" i="29"/>
  <c r="G26" i="29"/>
  <c r="E26" i="29"/>
  <c r="D26" i="29"/>
  <c r="C26" i="29"/>
  <c r="B26" i="29"/>
  <c r="N25" i="29"/>
  <c r="M25" i="29"/>
  <c r="K25" i="29"/>
  <c r="J25" i="29"/>
  <c r="I25" i="29"/>
  <c r="H25" i="29"/>
  <c r="G25" i="29"/>
  <c r="E25" i="29"/>
  <c r="D25" i="29"/>
  <c r="C25" i="29"/>
  <c r="B25" i="29"/>
  <c r="N24" i="29"/>
  <c r="M24" i="29"/>
  <c r="L24" i="29"/>
  <c r="K24" i="29"/>
  <c r="J24" i="29"/>
  <c r="H24" i="29"/>
  <c r="G24" i="29"/>
  <c r="E24" i="29"/>
  <c r="D24" i="29"/>
  <c r="C24" i="29"/>
  <c r="B24" i="29"/>
  <c r="N23" i="29"/>
  <c r="M23" i="29"/>
  <c r="K23" i="29"/>
  <c r="J23" i="29"/>
  <c r="I23" i="29"/>
  <c r="H23" i="29"/>
  <c r="G23" i="29"/>
  <c r="E23" i="29"/>
  <c r="D23" i="29"/>
  <c r="C23" i="29"/>
  <c r="B23" i="29"/>
  <c r="N22" i="29"/>
  <c r="M22" i="29"/>
  <c r="K22" i="29"/>
  <c r="J22" i="29"/>
  <c r="H22" i="29"/>
  <c r="G22" i="29"/>
  <c r="E22" i="29"/>
  <c r="D22" i="29"/>
  <c r="C22" i="29"/>
  <c r="B22" i="29"/>
  <c r="O21" i="29"/>
  <c r="N21" i="29"/>
  <c r="M21" i="29"/>
  <c r="K21" i="29"/>
  <c r="J21" i="29"/>
  <c r="H21" i="29"/>
  <c r="G21" i="29"/>
  <c r="E21" i="29"/>
  <c r="D21" i="29"/>
  <c r="C21" i="29"/>
  <c r="B21" i="29"/>
  <c r="N20" i="29"/>
  <c r="M20" i="29"/>
  <c r="L20" i="29"/>
  <c r="K20" i="29"/>
  <c r="J20" i="29"/>
  <c r="H20" i="29"/>
  <c r="G20" i="29"/>
  <c r="E20" i="29"/>
  <c r="D20" i="29"/>
  <c r="C20" i="29"/>
  <c r="B20" i="29"/>
  <c r="N19" i="29"/>
  <c r="M19" i="29"/>
  <c r="K19" i="29"/>
  <c r="J19" i="29"/>
  <c r="I19" i="29"/>
  <c r="H19" i="29"/>
  <c r="G19" i="29"/>
  <c r="E19" i="29"/>
  <c r="D19" i="29"/>
  <c r="C19" i="29"/>
  <c r="B19" i="29"/>
  <c r="O18" i="29"/>
  <c r="N18" i="29"/>
  <c r="M18" i="29"/>
  <c r="J18" i="29"/>
  <c r="H18" i="29"/>
  <c r="G18" i="29"/>
  <c r="E18" i="29"/>
  <c r="D18" i="29"/>
  <c r="C18" i="29"/>
  <c r="B18" i="29"/>
  <c r="N17" i="29"/>
  <c r="M17" i="29"/>
  <c r="L17" i="29"/>
  <c r="K17" i="29"/>
  <c r="J17" i="29"/>
  <c r="H17" i="29"/>
  <c r="G17" i="29"/>
  <c r="E17" i="29"/>
  <c r="D17" i="29"/>
  <c r="C17" i="29"/>
  <c r="B17" i="29"/>
  <c r="M15" i="29"/>
  <c r="J15" i="29"/>
  <c r="G15" i="29"/>
  <c r="D15" i="29"/>
  <c r="B15" i="29"/>
  <c r="M14" i="29"/>
  <c r="G14" i="29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199" i="28"/>
  <c r="O198" i="28"/>
  <c r="N198" i="28"/>
  <c r="L198" i="28"/>
  <c r="K198" i="28"/>
  <c r="H198" i="28"/>
  <c r="I198" i="28" s="1"/>
  <c r="E198" i="28"/>
  <c r="F198" i="28" s="1"/>
  <c r="O197" i="28"/>
  <c r="N197" i="28"/>
  <c r="K197" i="28"/>
  <c r="L197" i="28" s="1"/>
  <c r="H197" i="28"/>
  <c r="I197" i="28" s="1"/>
  <c r="E197" i="28"/>
  <c r="F197" i="28" s="1"/>
  <c r="N196" i="28"/>
  <c r="O196" i="28" s="1"/>
  <c r="K196" i="28"/>
  <c r="L196" i="28" s="1"/>
  <c r="H196" i="28"/>
  <c r="I196" i="28" s="1"/>
  <c r="E196" i="28"/>
  <c r="F196" i="28" s="1"/>
  <c r="O195" i="28"/>
  <c r="N195" i="28"/>
  <c r="K195" i="28"/>
  <c r="L195" i="28" s="1"/>
  <c r="H195" i="28"/>
  <c r="I195" i="28" s="1"/>
  <c r="E195" i="28"/>
  <c r="F195" i="28" s="1"/>
  <c r="N194" i="28"/>
  <c r="O194" i="28" s="1"/>
  <c r="L194" i="28"/>
  <c r="K194" i="28"/>
  <c r="H194" i="28"/>
  <c r="I194" i="28" s="1"/>
  <c r="E194" i="28"/>
  <c r="F194" i="28" s="1"/>
  <c r="N193" i="28"/>
  <c r="O193" i="28" s="1"/>
  <c r="K193" i="28"/>
  <c r="L193" i="28" s="1"/>
  <c r="H193" i="28"/>
  <c r="I193" i="28" s="1"/>
  <c r="E193" i="28"/>
  <c r="F193" i="28" s="1"/>
  <c r="O192" i="28"/>
  <c r="N192" i="28"/>
  <c r="K192" i="28"/>
  <c r="L192" i="28" s="1"/>
  <c r="H192" i="28"/>
  <c r="I192" i="28" s="1"/>
  <c r="E192" i="28"/>
  <c r="F192" i="28" s="1"/>
  <c r="N191" i="28"/>
  <c r="O191" i="28" s="1"/>
  <c r="K191" i="28"/>
  <c r="L191" i="28" s="1"/>
  <c r="H191" i="28"/>
  <c r="I191" i="28" s="1"/>
  <c r="E191" i="28"/>
  <c r="F191" i="28" s="1"/>
  <c r="O190" i="28"/>
  <c r="N190" i="28"/>
  <c r="L190" i="28"/>
  <c r="K190" i="28"/>
  <c r="H190" i="28"/>
  <c r="I190" i="28" s="1"/>
  <c r="E190" i="28"/>
  <c r="F190" i="28" s="1"/>
  <c r="O189" i="28"/>
  <c r="N189" i="28"/>
  <c r="K189" i="28"/>
  <c r="L189" i="28" s="1"/>
  <c r="I189" i="28"/>
  <c r="H189" i="28"/>
  <c r="E189" i="28"/>
  <c r="F189" i="28" s="1"/>
  <c r="O188" i="28"/>
  <c r="N188" i="28"/>
  <c r="L188" i="28"/>
  <c r="K188" i="28"/>
  <c r="H188" i="28"/>
  <c r="I188" i="28" s="1"/>
  <c r="E188" i="28"/>
  <c r="F188" i="28" s="1"/>
  <c r="O187" i="28"/>
  <c r="N187" i="28"/>
  <c r="L187" i="28"/>
  <c r="K187" i="28"/>
  <c r="H187" i="28"/>
  <c r="I187" i="28" s="1"/>
  <c r="E187" i="28"/>
  <c r="F187" i="28" s="1"/>
  <c r="O186" i="28"/>
  <c r="N186" i="28"/>
  <c r="K186" i="28"/>
  <c r="L186" i="28" s="1"/>
  <c r="H186" i="28"/>
  <c r="I186" i="28" s="1"/>
  <c r="E186" i="28"/>
  <c r="F186" i="28" s="1"/>
  <c r="N185" i="28"/>
  <c r="O185" i="28" s="1"/>
  <c r="K185" i="28"/>
  <c r="L185" i="28" s="1"/>
  <c r="H185" i="28"/>
  <c r="I185" i="28" s="1"/>
  <c r="E185" i="28"/>
  <c r="F185" i="28" s="1"/>
  <c r="O184" i="28"/>
  <c r="N184" i="28"/>
  <c r="L184" i="28"/>
  <c r="K184" i="28"/>
  <c r="H184" i="28"/>
  <c r="I184" i="28" s="1"/>
  <c r="E184" i="28"/>
  <c r="F184" i="28" s="1"/>
  <c r="O183" i="28"/>
  <c r="N183" i="28"/>
  <c r="L183" i="28"/>
  <c r="K183" i="28"/>
  <c r="H183" i="28"/>
  <c r="I183" i="28" s="1"/>
  <c r="E183" i="28"/>
  <c r="F183" i="28" s="1"/>
  <c r="O182" i="28"/>
  <c r="N182" i="28"/>
  <c r="K182" i="28"/>
  <c r="L182" i="28" s="1"/>
  <c r="H182" i="28"/>
  <c r="I182" i="28" s="1"/>
  <c r="E182" i="28"/>
  <c r="F182" i="28" s="1"/>
  <c r="N181" i="28"/>
  <c r="O181" i="28" s="1"/>
  <c r="K181" i="28"/>
  <c r="L181" i="28" s="1"/>
  <c r="H181" i="28"/>
  <c r="I181" i="28" s="1"/>
  <c r="E181" i="28"/>
  <c r="F181" i="28" s="1"/>
  <c r="O180" i="28"/>
  <c r="N180" i="28"/>
  <c r="L180" i="28"/>
  <c r="K180" i="28"/>
  <c r="H180" i="28"/>
  <c r="I180" i="28" s="1"/>
  <c r="E180" i="28"/>
  <c r="F180" i="28" s="1"/>
  <c r="O179" i="28"/>
  <c r="N179" i="28"/>
  <c r="L179" i="28"/>
  <c r="K179" i="28"/>
  <c r="H179" i="28"/>
  <c r="E179" i="28"/>
  <c r="M177" i="28"/>
  <c r="J177" i="28"/>
  <c r="G177" i="28"/>
  <c r="D177" i="28"/>
  <c r="B177" i="28"/>
  <c r="M176" i="28"/>
  <c r="G176" i="28"/>
  <c r="B172" i="28"/>
  <c r="N171" i="28"/>
  <c r="O171" i="28" s="1"/>
  <c r="K171" i="28"/>
  <c r="L171" i="28" s="1"/>
  <c r="H171" i="28"/>
  <c r="I171" i="28" s="1"/>
  <c r="E171" i="28"/>
  <c r="F171" i="28" s="1"/>
  <c r="N170" i="28"/>
  <c r="O170" i="28" s="1"/>
  <c r="K170" i="28"/>
  <c r="L170" i="28" s="1"/>
  <c r="H170" i="28"/>
  <c r="I170" i="28" s="1"/>
  <c r="E170" i="28"/>
  <c r="F170" i="28" s="1"/>
  <c r="O169" i="28"/>
  <c r="N169" i="28"/>
  <c r="K169" i="28"/>
  <c r="L169" i="28" s="1"/>
  <c r="H169" i="28"/>
  <c r="I169" i="28" s="1"/>
  <c r="E169" i="28"/>
  <c r="F169" i="28" s="1"/>
  <c r="N168" i="28"/>
  <c r="O168" i="28" s="1"/>
  <c r="L168" i="28"/>
  <c r="K168" i="28"/>
  <c r="H168" i="28"/>
  <c r="I168" i="28" s="1"/>
  <c r="E168" i="28"/>
  <c r="F168" i="28" s="1"/>
  <c r="N167" i="28"/>
  <c r="O167" i="28" s="1"/>
  <c r="K167" i="28"/>
  <c r="L167" i="28" s="1"/>
  <c r="H167" i="28"/>
  <c r="I167" i="28" s="1"/>
  <c r="E167" i="28"/>
  <c r="F167" i="28" s="1"/>
  <c r="O166" i="28"/>
  <c r="N166" i="28"/>
  <c r="K166" i="28"/>
  <c r="L166" i="28" s="1"/>
  <c r="I166" i="28"/>
  <c r="H166" i="28"/>
  <c r="E166" i="28"/>
  <c r="F166" i="28" s="1"/>
  <c r="N165" i="28"/>
  <c r="O165" i="28" s="1"/>
  <c r="K165" i="28"/>
  <c r="L165" i="28" s="1"/>
  <c r="H165" i="28"/>
  <c r="I165" i="28" s="1"/>
  <c r="E165" i="28"/>
  <c r="F165" i="28" s="1"/>
  <c r="N164" i="28"/>
  <c r="O164" i="28" s="1"/>
  <c r="K164" i="28"/>
  <c r="L164" i="28" s="1"/>
  <c r="I164" i="28"/>
  <c r="H164" i="28"/>
  <c r="E164" i="28"/>
  <c r="F164" i="28" s="1"/>
  <c r="O163" i="28"/>
  <c r="N163" i="28"/>
  <c r="L163" i="28"/>
  <c r="K163" i="28"/>
  <c r="H163" i="28"/>
  <c r="I163" i="28" s="1"/>
  <c r="E163" i="28"/>
  <c r="F163" i="28" s="1"/>
  <c r="N162" i="28"/>
  <c r="O162" i="28" s="1"/>
  <c r="K162" i="28"/>
  <c r="L162" i="28" s="1"/>
  <c r="I162" i="28"/>
  <c r="H162" i="28"/>
  <c r="E162" i="28"/>
  <c r="F162" i="28" s="1"/>
  <c r="O161" i="28"/>
  <c r="N161" i="28"/>
  <c r="K161" i="28"/>
  <c r="L161" i="28" s="1"/>
  <c r="H161" i="28"/>
  <c r="I161" i="28" s="1"/>
  <c r="E161" i="28"/>
  <c r="F161" i="28" s="1"/>
  <c r="N160" i="28"/>
  <c r="O160" i="28" s="1"/>
  <c r="K160" i="28"/>
  <c r="L160" i="28" s="1"/>
  <c r="H160" i="28"/>
  <c r="I160" i="28" s="1"/>
  <c r="E160" i="28"/>
  <c r="F160" i="28" s="1"/>
  <c r="N159" i="28"/>
  <c r="O159" i="28" s="1"/>
  <c r="L159" i="28"/>
  <c r="K159" i="28"/>
  <c r="H159" i="28"/>
  <c r="I159" i="28" s="1"/>
  <c r="E159" i="28"/>
  <c r="F159" i="28" s="1"/>
  <c r="N158" i="28"/>
  <c r="O158" i="28" s="1"/>
  <c r="K158" i="28"/>
  <c r="L158" i="28" s="1"/>
  <c r="I158" i="28"/>
  <c r="H158" i="28"/>
  <c r="E158" i="28"/>
  <c r="F158" i="28" s="1"/>
  <c r="N157" i="28"/>
  <c r="O157" i="28" s="1"/>
  <c r="K157" i="28"/>
  <c r="L157" i="28" s="1"/>
  <c r="H157" i="28"/>
  <c r="I157" i="28" s="1"/>
  <c r="E157" i="28"/>
  <c r="F157" i="28" s="1"/>
  <c r="O156" i="28"/>
  <c r="N156" i="28"/>
  <c r="K156" i="28"/>
  <c r="L156" i="28" s="1"/>
  <c r="H156" i="28"/>
  <c r="I156" i="28" s="1"/>
  <c r="E156" i="28"/>
  <c r="F156" i="28" s="1"/>
  <c r="N155" i="28"/>
  <c r="O155" i="28" s="1"/>
  <c r="K155" i="28"/>
  <c r="L155" i="28" s="1"/>
  <c r="H155" i="28"/>
  <c r="I155" i="28" s="1"/>
  <c r="E155" i="28"/>
  <c r="F155" i="28" s="1"/>
  <c r="N154" i="28"/>
  <c r="O154" i="28" s="1"/>
  <c r="L154" i="28"/>
  <c r="K154" i="28"/>
  <c r="H154" i="28"/>
  <c r="I154" i="28" s="1"/>
  <c r="E154" i="28"/>
  <c r="F154" i="28" s="1"/>
  <c r="O153" i="28"/>
  <c r="N153" i="28"/>
  <c r="K153" i="28"/>
  <c r="L153" i="28" s="1"/>
  <c r="H153" i="28"/>
  <c r="I153" i="28" s="1"/>
  <c r="E153" i="28"/>
  <c r="F153" i="28" s="1"/>
  <c r="N152" i="28"/>
  <c r="K152" i="28"/>
  <c r="L152" i="28" s="1"/>
  <c r="H152" i="28"/>
  <c r="I152" i="28" s="1"/>
  <c r="E152" i="28"/>
  <c r="F15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N141" i="28"/>
  <c r="O141" i="28" s="1"/>
  <c r="K141" i="28"/>
  <c r="L141" i="28" s="1"/>
  <c r="I141" i="28"/>
  <c r="H141" i="28"/>
  <c r="E141" i="28"/>
  <c r="F141" i="28" s="1"/>
  <c r="O140" i="28"/>
  <c r="N140" i="28"/>
  <c r="K140" i="28"/>
  <c r="L140" i="28" s="1"/>
  <c r="H140" i="28"/>
  <c r="I140" i="28" s="1"/>
  <c r="E140" i="28"/>
  <c r="F140" i="28" s="1"/>
  <c r="N139" i="28"/>
  <c r="O139" i="28" s="1"/>
  <c r="K139" i="28"/>
  <c r="L139" i="28" s="1"/>
  <c r="H139" i="28"/>
  <c r="I139" i="28" s="1"/>
  <c r="E139" i="28"/>
  <c r="F139" i="28" s="1"/>
  <c r="N138" i="28"/>
  <c r="O138" i="28" s="1"/>
  <c r="K138" i="28"/>
  <c r="L138" i="28" s="1"/>
  <c r="H138" i="28"/>
  <c r="I138" i="28" s="1"/>
  <c r="E138" i="28"/>
  <c r="F138" i="28" s="1"/>
  <c r="N137" i="28"/>
  <c r="O137" i="28" s="1"/>
  <c r="L137" i="28"/>
  <c r="K137" i="28"/>
  <c r="H137" i="28"/>
  <c r="I137" i="28" s="1"/>
  <c r="E137" i="28"/>
  <c r="F137" i="28" s="1"/>
  <c r="N136" i="28"/>
  <c r="O136" i="28" s="1"/>
  <c r="K136" i="28"/>
  <c r="L136" i="28" s="1"/>
  <c r="H136" i="28"/>
  <c r="I136" i="28" s="1"/>
  <c r="E136" i="28"/>
  <c r="F136" i="28" s="1"/>
  <c r="N135" i="28"/>
  <c r="O135" i="28" s="1"/>
  <c r="K135" i="28"/>
  <c r="L135" i="28" s="1"/>
  <c r="H135" i="28"/>
  <c r="I135" i="28" s="1"/>
  <c r="E135" i="28"/>
  <c r="F135" i="28" s="1"/>
  <c r="N134" i="28"/>
  <c r="O134" i="28" s="1"/>
  <c r="K134" i="28"/>
  <c r="L134" i="28" s="1"/>
  <c r="H134" i="28"/>
  <c r="I134" i="28" s="1"/>
  <c r="E134" i="28"/>
  <c r="F134" i="28" s="1"/>
  <c r="O133" i="28"/>
  <c r="N133" i="28"/>
  <c r="L133" i="28"/>
  <c r="K133" i="28"/>
  <c r="I133" i="28"/>
  <c r="H133" i="28"/>
  <c r="E133" i="28"/>
  <c r="F133" i="28" s="1"/>
  <c r="N132" i="28"/>
  <c r="O132" i="28" s="1"/>
  <c r="L132" i="28"/>
  <c r="K132" i="28"/>
  <c r="H132" i="28"/>
  <c r="I132" i="28" s="1"/>
  <c r="E132" i="28"/>
  <c r="F132" i="28" s="1"/>
  <c r="N131" i="28"/>
  <c r="O131" i="28" s="1"/>
  <c r="L131" i="28"/>
  <c r="K131" i="28"/>
  <c r="H131" i="28"/>
  <c r="I131" i="28" s="1"/>
  <c r="E131" i="28"/>
  <c r="F131" i="28" s="1"/>
  <c r="N130" i="28"/>
  <c r="O130" i="28" s="1"/>
  <c r="K130" i="28"/>
  <c r="L130" i="28" s="1"/>
  <c r="H130" i="28"/>
  <c r="I130" i="28" s="1"/>
  <c r="E130" i="28"/>
  <c r="F130" i="28" s="1"/>
  <c r="O129" i="28"/>
  <c r="N129" i="28"/>
  <c r="L129" i="28"/>
  <c r="K129" i="28"/>
  <c r="H129" i="28"/>
  <c r="I129" i="28" s="1"/>
  <c r="E129" i="28"/>
  <c r="F129" i="28" s="1"/>
  <c r="N128" i="28"/>
  <c r="O128" i="28" s="1"/>
  <c r="K128" i="28"/>
  <c r="L128" i="28" s="1"/>
  <c r="H128" i="28"/>
  <c r="I128" i="28" s="1"/>
  <c r="E128" i="28"/>
  <c r="F128" i="28" s="1"/>
  <c r="N127" i="28"/>
  <c r="O127" i="28" s="1"/>
  <c r="L127" i="28"/>
  <c r="K127" i="28"/>
  <c r="H127" i="28"/>
  <c r="I127" i="28" s="1"/>
  <c r="E127" i="28"/>
  <c r="F127" i="28" s="1"/>
  <c r="N126" i="28"/>
  <c r="O126" i="28" s="1"/>
  <c r="K126" i="28"/>
  <c r="H126" i="28"/>
  <c r="I126" i="28" s="1"/>
  <c r="E126" i="28"/>
  <c r="N125" i="28"/>
  <c r="K125" i="28"/>
  <c r="L125" i="28" s="1"/>
  <c r="H125" i="28"/>
  <c r="I125" i="28" s="1"/>
  <c r="E125" i="28"/>
  <c r="F125" i="28" s="1"/>
  <c r="M123" i="28"/>
  <c r="J123" i="28"/>
  <c r="G123" i="28"/>
  <c r="D123" i="28"/>
  <c r="B123" i="28"/>
  <c r="M122" i="28"/>
  <c r="G122" i="28"/>
  <c r="B118" i="28"/>
  <c r="N117" i="28"/>
  <c r="N36" i="28" s="1"/>
  <c r="K117" i="28"/>
  <c r="L117" i="28" s="1"/>
  <c r="L36" i="28" s="1"/>
  <c r="H117" i="28"/>
  <c r="H36" i="28" s="1"/>
  <c r="E117" i="28"/>
  <c r="F117" i="28" s="1"/>
  <c r="F36" i="28" s="1"/>
  <c r="O116" i="28"/>
  <c r="O35" i="28" s="1"/>
  <c r="N116" i="28"/>
  <c r="L116" i="28"/>
  <c r="L35" i="28" s="1"/>
  <c r="K116" i="28"/>
  <c r="I116" i="28"/>
  <c r="H116" i="28"/>
  <c r="E116" i="28"/>
  <c r="F116" i="28" s="1"/>
  <c r="N115" i="28"/>
  <c r="O115" i="28" s="1"/>
  <c r="O34" i="28" s="1"/>
  <c r="K115" i="28"/>
  <c r="K34" i="28" s="1"/>
  <c r="H115" i="28"/>
  <c r="I115" i="28" s="1"/>
  <c r="I34" i="28" s="1"/>
  <c r="E115" i="28"/>
  <c r="F115" i="28" s="1"/>
  <c r="O114" i="28"/>
  <c r="O33" i="28" s="1"/>
  <c r="N114" i="28"/>
  <c r="L114" i="28"/>
  <c r="K114" i="28"/>
  <c r="H114" i="28"/>
  <c r="I114" i="28" s="1"/>
  <c r="I33" i="28" s="1"/>
  <c r="E114" i="28"/>
  <c r="F114" i="28" s="1"/>
  <c r="F33" i="28" s="1"/>
  <c r="N113" i="28"/>
  <c r="O113" i="28" s="1"/>
  <c r="O32" i="28" s="1"/>
  <c r="K113" i="28"/>
  <c r="L113" i="28" s="1"/>
  <c r="L32" i="28" s="1"/>
  <c r="H113" i="28"/>
  <c r="I113" i="28" s="1"/>
  <c r="I32" i="28" s="1"/>
  <c r="E113" i="28"/>
  <c r="F113" i="28" s="1"/>
  <c r="F32" i="28" s="1"/>
  <c r="N112" i="28"/>
  <c r="O112" i="28" s="1"/>
  <c r="O31" i="28" s="1"/>
  <c r="L112" i="28"/>
  <c r="K112" i="28"/>
  <c r="H112" i="28"/>
  <c r="I112" i="28" s="1"/>
  <c r="I31" i="28" s="1"/>
  <c r="E112" i="28"/>
  <c r="F112" i="28" s="1"/>
  <c r="F31" i="28" s="1"/>
  <c r="N111" i="28"/>
  <c r="O111" i="28" s="1"/>
  <c r="O30" i="28" s="1"/>
  <c r="K111" i="28"/>
  <c r="K30" i="28" s="1"/>
  <c r="I111" i="28"/>
  <c r="H111" i="28"/>
  <c r="E111" i="28"/>
  <c r="F111" i="28" s="1"/>
  <c r="N110" i="28"/>
  <c r="N29" i="28" s="1"/>
  <c r="K110" i="28"/>
  <c r="L110" i="28" s="1"/>
  <c r="L29" i="28" s="1"/>
  <c r="H110" i="28"/>
  <c r="I110" i="28" s="1"/>
  <c r="I29" i="28" s="1"/>
  <c r="E110" i="28"/>
  <c r="F110" i="28" s="1"/>
  <c r="O109" i="28"/>
  <c r="N109" i="28"/>
  <c r="L109" i="28"/>
  <c r="K109" i="28"/>
  <c r="H109" i="28"/>
  <c r="I109" i="28" s="1"/>
  <c r="I28" i="28" s="1"/>
  <c r="E109" i="28"/>
  <c r="F109" i="28" s="1"/>
  <c r="F28" i="28" s="1"/>
  <c r="N108" i="28"/>
  <c r="O108" i="28" s="1"/>
  <c r="K108" i="28"/>
  <c r="L108" i="28" s="1"/>
  <c r="I108" i="28"/>
  <c r="H108" i="28"/>
  <c r="E108" i="28"/>
  <c r="F108" i="28" s="1"/>
  <c r="O107" i="28"/>
  <c r="O26" i="28" s="1"/>
  <c r="N107" i="28"/>
  <c r="L107" i="28"/>
  <c r="K107" i="28"/>
  <c r="H107" i="28"/>
  <c r="I107" i="28" s="1"/>
  <c r="I26" i="28" s="1"/>
  <c r="E107" i="28"/>
  <c r="F107" i="28" s="1"/>
  <c r="N106" i="28"/>
  <c r="O106" i="28" s="1"/>
  <c r="O25" i="28" s="1"/>
  <c r="K106" i="28"/>
  <c r="L106" i="28" s="1"/>
  <c r="L25" i="28" s="1"/>
  <c r="H106" i="28"/>
  <c r="I106" i="28" s="1"/>
  <c r="I25" i="28" s="1"/>
  <c r="E106" i="28"/>
  <c r="F106" i="28" s="1"/>
  <c r="N105" i="28"/>
  <c r="N24" i="28" s="1"/>
  <c r="L105" i="28"/>
  <c r="K105" i="28"/>
  <c r="H105" i="28"/>
  <c r="I105" i="28" s="1"/>
  <c r="I24" i="28" s="1"/>
  <c r="E105" i="28"/>
  <c r="F105" i="28" s="1"/>
  <c r="F24" i="28" s="1"/>
  <c r="O104" i="28"/>
  <c r="N104" i="28"/>
  <c r="K104" i="28"/>
  <c r="L104" i="28" s="1"/>
  <c r="I104" i="28"/>
  <c r="H104" i="28"/>
  <c r="E104" i="28"/>
  <c r="F104" i="28" s="1"/>
  <c r="N103" i="28"/>
  <c r="N22" i="28" s="1"/>
  <c r="K103" i="28"/>
  <c r="L103" i="28" s="1"/>
  <c r="L22" i="28" s="1"/>
  <c r="H103" i="28"/>
  <c r="I103" i="28" s="1"/>
  <c r="I22" i="28" s="1"/>
  <c r="E103" i="28"/>
  <c r="F103" i="28" s="1"/>
  <c r="O102" i="28"/>
  <c r="O21" i="28" s="1"/>
  <c r="N102" i="28"/>
  <c r="L102" i="28"/>
  <c r="K102" i="28"/>
  <c r="H102" i="28"/>
  <c r="H21" i="28" s="1"/>
  <c r="E102" i="28"/>
  <c r="F102" i="28" s="1"/>
  <c r="N101" i="28"/>
  <c r="O101" i="28" s="1"/>
  <c r="O20" i="28" s="1"/>
  <c r="K101" i="28"/>
  <c r="L101" i="28" s="1"/>
  <c r="L20" i="28" s="1"/>
  <c r="H101" i="28"/>
  <c r="I101" i="28" s="1"/>
  <c r="I20" i="28" s="1"/>
  <c r="E101" i="28"/>
  <c r="F101" i="28" s="1"/>
  <c r="F20" i="28" s="1"/>
  <c r="N100" i="28"/>
  <c r="O100" i="28" s="1"/>
  <c r="O19" i="28" s="1"/>
  <c r="L100" i="28"/>
  <c r="K100" i="28"/>
  <c r="I100" i="28"/>
  <c r="H100" i="28"/>
  <c r="E100" i="28"/>
  <c r="F100" i="28" s="1"/>
  <c r="N99" i="28"/>
  <c r="O99" i="28" s="1"/>
  <c r="O18" i="28" s="1"/>
  <c r="K99" i="28"/>
  <c r="H99" i="28"/>
  <c r="I99" i="28" s="1"/>
  <c r="I18" i="28" s="1"/>
  <c r="E99" i="28"/>
  <c r="F99" i="28" s="1"/>
  <c r="N98" i="28"/>
  <c r="N118" i="28" s="1"/>
  <c r="L98" i="28"/>
  <c r="K98" i="28"/>
  <c r="H98" i="28"/>
  <c r="E98" i="28"/>
  <c r="M96" i="28"/>
  <c r="J96" i="28"/>
  <c r="G96" i="28"/>
  <c r="D96" i="28"/>
  <c r="B96" i="28"/>
  <c r="M95" i="28"/>
  <c r="G95" i="28"/>
  <c r="B91" i="28"/>
  <c r="O90" i="28"/>
  <c r="N90" i="28"/>
  <c r="K90" i="28"/>
  <c r="L90" i="28" s="1"/>
  <c r="H90" i="28"/>
  <c r="I90" i="28" s="1"/>
  <c r="E90" i="28"/>
  <c r="F90" i="28" s="1"/>
  <c r="O89" i="28"/>
  <c r="N89" i="28"/>
  <c r="L89" i="28"/>
  <c r="K89" i="28"/>
  <c r="H89" i="28"/>
  <c r="I89" i="28" s="1"/>
  <c r="E89" i="28"/>
  <c r="F89" i="28" s="1"/>
  <c r="O88" i="28"/>
  <c r="N88" i="28"/>
  <c r="K88" i="28"/>
  <c r="L88" i="28" s="1"/>
  <c r="I88" i="28"/>
  <c r="H88" i="28"/>
  <c r="E88" i="28"/>
  <c r="F88" i="28" s="1"/>
  <c r="O87" i="28"/>
  <c r="N87" i="28"/>
  <c r="K87" i="28"/>
  <c r="L87" i="28" s="1"/>
  <c r="I87" i="28"/>
  <c r="H87" i="28"/>
  <c r="E87" i="28"/>
  <c r="F87" i="28" s="1"/>
  <c r="O86" i="28"/>
  <c r="N86" i="28"/>
  <c r="L86" i="28"/>
  <c r="K86" i="28"/>
  <c r="H86" i="28"/>
  <c r="I86" i="28" s="1"/>
  <c r="E86" i="28"/>
  <c r="F86" i="28" s="1"/>
  <c r="O85" i="28"/>
  <c r="N85" i="28"/>
  <c r="K85" i="28"/>
  <c r="L85" i="28" s="1"/>
  <c r="I85" i="28"/>
  <c r="H85" i="28"/>
  <c r="E85" i="28"/>
  <c r="F85" i="28" s="1"/>
  <c r="O84" i="28"/>
  <c r="N84" i="28"/>
  <c r="K84" i="28"/>
  <c r="L84" i="28" s="1"/>
  <c r="H84" i="28"/>
  <c r="I84" i="28" s="1"/>
  <c r="E84" i="28"/>
  <c r="F84" i="28" s="1"/>
  <c r="O83" i="28"/>
  <c r="N83" i="28"/>
  <c r="K83" i="28"/>
  <c r="L83" i="28" s="1"/>
  <c r="H83" i="28"/>
  <c r="I83" i="28" s="1"/>
  <c r="E83" i="28"/>
  <c r="F83" i="28" s="1"/>
  <c r="O82" i="28"/>
  <c r="N82" i="28"/>
  <c r="K82" i="28"/>
  <c r="L82" i="28" s="1"/>
  <c r="H82" i="28"/>
  <c r="I82" i="28" s="1"/>
  <c r="E82" i="28"/>
  <c r="F82" i="28" s="1"/>
  <c r="N81" i="28"/>
  <c r="O81" i="28" s="1"/>
  <c r="L81" i="28"/>
  <c r="K81" i="28"/>
  <c r="H81" i="28"/>
  <c r="I81" i="28" s="1"/>
  <c r="E81" i="28"/>
  <c r="F81" i="28" s="1"/>
  <c r="O80" i="28"/>
  <c r="N80" i="28"/>
  <c r="K80" i="28"/>
  <c r="L80" i="28" s="1"/>
  <c r="I80" i="28"/>
  <c r="H80" i="28"/>
  <c r="E80" i="28"/>
  <c r="F80" i="28" s="1"/>
  <c r="N79" i="28"/>
  <c r="O79" i="28" s="1"/>
  <c r="L79" i="28"/>
  <c r="K79" i="28"/>
  <c r="H79" i="28"/>
  <c r="I79" i="28" s="1"/>
  <c r="E79" i="28"/>
  <c r="F79" i="28" s="1"/>
  <c r="O78" i="28"/>
  <c r="N78" i="28"/>
  <c r="K78" i="28"/>
  <c r="L78" i="28" s="1"/>
  <c r="H78" i="28"/>
  <c r="I78" i="28" s="1"/>
  <c r="E78" i="28"/>
  <c r="F78" i="28" s="1"/>
  <c r="O77" i="28"/>
  <c r="N77" i="28"/>
  <c r="L77" i="28"/>
  <c r="K77" i="28"/>
  <c r="I77" i="28"/>
  <c r="H77" i="28"/>
  <c r="E77" i="28"/>
  <c r="F77" i="28" s="1"/>
  <c r="O76" i="28"/>
  <c r="N76" i="28"/>
  <c r="L76" i="28"/>
  <c r="K76" i="28"/>
  <c r="I76" i="28"/>
  <c r="H76" i="28"/>
  <c r="E76" i="28"/>
  <c r="F76" i="28" s="1"/>
  <c r="O75" i="28"/>
  <c r="N75" i="28"/>
  <c r="K75" i="28"/>
  <c r="L75" i="28" s="1"/>
  <c r="H75" i="28"/>
  <c r="I75" i="28" s="1"/>
  <c r="E75" i="28"/>
  <c r="F75" i="28" s="1"/>
  <c r="O74" i="28"/>
  <c r="N74" i="28"/>
  <c r="L74" i="28"/>
  <c r="K74" i="28"/>
  <c r="H74" i="28"/>
  <c r="I74" i="28" s="1"/>
  <c r="E74" i="28"/>
  <c r="F74" i="28" s="1"/>
  <c r="N73" i="28"/>
  <c r="O73" i="28" s="1"/>
  <c r="K73" i="28"/>
  <c r="L73" i="28" s="1"/>
  <c r="H73" i="28"/>
  <c r="I73" i="28" s="1"/>
  <c r="E73" i="28"/>
  <c r="F73" i="28" s="1"/>
  <c r="O72" i="28"/>
  <c r="N72" i="28"/>
  <c r="L72" i="28"/>
  <c r="K72" i="28"/>
  <c r="I72" i="28"/>
  <c r="H72" i="28"/>
  <c r="E72" i="28"/>
  <c r="F72" i="28" s="1"/>
  <c r="N71" i="28"/>
  <c r="N91" i="28" s="1"/>
  <c r="L71" i="28"/>
  <c r="L17" i="28" s="1"/>
  <c r="K71" i="28"/>
  <c r="I71" i="28"/>
  <c r="I17" i="28" s="1"/>
  <c r="H71" i="28"/>
  <c r="E71" i="28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N60" i="28"/>
  <c r="O60" i="28" s="1"/>
  <c r="K60" i="28"/>
  <c r="L60" i="28" s="1"/>
  <c r="H60" i="28"/>
  <c r="I60" i="28" s="1"/>
  <c r="E60" i="28"/>
  <c r="F60" i="28" s="1"/>
  <c r="N59" i="28"/>
  <c r="O59" i="28" s="1"/>
  <c r="L59" i="28"/>
  <c r="K59" i="28"/>
  <c r="H59" i="28"/>
  <c r="I59" i="28" s="1"/>
  <c r="E59" i="28"/>
  <c r="F59" i="28" s="1"/>
  <c r="N58" i="28"/>
  <c r="O58" i="28" s="1"/>
  <c r="K58" i="28"/>
  <c r="L58" i="28" s="1"/>
  <c r="H58" i="28"/>
  <c r="I58" i="28" s="1"/>
  <c r="E58" i="28"/>
  <c r="F58" i="28" s="1"/>
  <c r="N57" i="28"/>
  <c r="O57" i="28" s="1"/>
  <c r="L57" i="28"/>
  <c r="K57" i="28"/>
  <c r="H57" i="28"/>
  <c r="I57" i="28" s="1"/>
  <c r="E57" i="28"/>
  <c r="F57" i="28" s="1"/>
  <c r="O56" i="28"/>
  <c r="N56" i="28"/>
  <c r="K56" i="28"/>
  <c r="L56" i="28" s="1"/>
  <c r="H56" i="28"/>
  <c r="I56" i="28" s="1"/>
  <c r="E56" i="28"/>
  <c r="F56" i="28" s="1"/>
  <c r="N55" i="28"/>
  <c r="O55" i="28" s="1"/>
  <c r="L55" i="28"/>
  <c r="K55" i="28"/>
  <c r="H55" i="28"/>
  <c r="I55" i="28" s="1"/>
  <c r="E55" i="28"/>
  <c r="F55" i="28" s="1"/>
  <c r="N54" i="28"/>
  <c r="O54" i="28" s="1"/>
  <c r="K54" i="28"/>
  <c r="L54" i="28" s="1"/>
  <c r="H54" i="28"/>
  <c r="I54" i="28" s="1"/>
  <c r="E54" i="28"/>
  <c r="F54" i="28" s="1"/>
  <c r="O53" i="28"/>
  <c r="N53" i="28"/>
  <c r="L53" i="28"/>
  <c r="K53" i="28"/>
  <c r="H53" i="28"/>
  <c r="I53" i="28" s="1"/>
  <c r="E53" i="28"/>
  <c r="F53" i="28" s="1"/>
  <c r="N52" i="28"/>
  <c r="O52" i="28" s="1"/>
  <c r="K52" i="28"/>
  <c r="L52" i="28" s="1"/>
  <c r="H52" i="28"/>
  <c r="I52" i="28" s="1"/>
  <c r="E52" i="28"/>
  <c r="F52" i="28" s="1"/>
  <c r="N51" i="28"/>
  <c r="O51" i="28" s="1"/>
  <c r="L51" i="28"/>
  <c r="K51" i="28"/>
  <c r="H51" i="28"/>
  <c r="I51" i="28" s="1"/>
  <c r="E51" i="28"/>
  <c r="F51" i="28" s="1"/>
  <c r="N50" i="28"/>
  <c r="O50" i="28" s="1"/>
  <c r="K50" i="28"/>
  <c r="L50" i="28" s="1"/>
  <c r="I50" i="28"/>
  <c r="H50" i="28"/>
  <c r="E50" i="28"/>
  <c r="F50" i="28" s="1"/>
  <c r="N49" i="28"/>
  <c r="O49" i="28" s="1"/>
  <c r="K49" i="28"/>
  <c r="L49" i="28" s="1"/>
  <c r="H49" i="28"/>
  <c r="I49" i="28" s="1"/>
  <c r="E49" i="28"/>
  <c r="F49" i="28" s="1"/>
  <c r="O48" i="28"/>
  <c r="N48" i="28"/>
  <c r="L48" i="28"/>
  <c r="K48" i="28"/>
  <c r="I48" i="28"/>
  <c r="H48" i="28"/>
  <c r="E48" i="28"/>
  <c r="F48" i="28" s="1"/>
  <c r="N47" i="28"/>
  <c r="O47" i="28" s="1"/>
  <c r="K47" i="28"/>
  <c r="L47" i="28" s="1"/>
  <c r="H47" i="28"/>
  <c r="I47" i="28" s="1"/>
  <c r="E47" i="28"/>
  <c r="F47" i="28" s="1"/>
  <c r="O46" i="28"/>
  <c r="N46" i="28"/>
  <c r="L46" i="28"/>
  <c r="K46" i="28"/>
  <c r="I46" i="28"/>
  <c r="H46" i="28"/>
  <c r="E46" i="28"/>
  <c r="F46" i="28" s="1"/>
  <c r="N45" i="28"/>
  <c r="O45" i="28" s="1"/>
  <c r="L45" i="28"/>
  <c r="K45" i="28"/>
  <c r="H45" i="28"/>
  <c r="I45" i="28" s="1"/>
  <c r="E45" i="28"/>
  <c r="F45" i="28" s="1"/>
  <c r="O44" i="28"/>
  <c r="N44" i="28"/>
  <c r="K44" i="28"/>
  <c r="L44" i="28" s="1"/>
  <c r="H44" i="28"/>
  <c r="I44" i="28" s="1"/>
  <c r="I27" i="28" s="1"/>
  <c r="E44" i="28"/>
  <c r="M42" i="28"/>
  <c r="J42" i="28"/>
  <c r="G42" i="28"/>
  <c r="D42" i="28"/>
  <c r="B42" i="28"/>
  <c r="M41" i="28"/>
  <c r="G41" i="28"/>
  <c r="M36" i="28"/>
  <c r="K36" i="28"/>
  <c r="J36" i="28"/>
  <c r="G36" i="28"/>
  <c r="D36" i="28"/>
  <c r="C36" i="28"/>
  <c r="B36" i="28"/>
  <c r="N35" i="28"/>
  <c r="M35" i="28"/>
  <c r="K35" i="28"/>
  <c r="J35" i="28"/>
  <c r="I35" i="28"/>
  <c r="H35" i="28"/>
  <c r="G35" i="28"/>
  <c r="F35" i="28"/>
  <c r="E35" i="28"/>
  <c r="D35" i="28"/>
  <c r="C35" i="28"/>
  <c r="B35" i="28"/>
  <c r="N34" i="28"/>
  <c r="M34" i="28"/>
  <c r="J34" i="28"/>
  <c r="G34" i="28"/>
  <c r="F34" i="28"/>
  <c r="E34" i="28"/>
  <c r="D34" i="28"/>
  <c r="C34" i="28"/>
  <c r="B34" i="28"/>
  <c r="N33" i="28"/>
  <c r="M33" i="28"/>
  <c r="L33" i="28"/>
  <c r="K33" i="28"/>
  <c r="J33" i="28"/>
  <c r="H33" i="28"/>
  <c r="G33" i="28"/>
  <c r="D33" i="28"/>
  <c r="C33" i="28"/>
  <c r="B33" i="28"/>
  <c r="N32" i="28"/>
  <c r="M32" i="28"/>
  <c r="K32" i="28"/>
  <c r="J32" i="28"/>
  <c r="H32" i="28"/>
  <c r="G32" i="28"/>
  <c r="D32" i="28"/>
  <c r="C32" i="28"/>
  <c r="B32" i="28"/>
  <c r="M31" i="28"/>
  <c r="L31" i="28"/>
  <c r="K31" i="28"/>
  <c r="J31" i="28"/>
  <c r="H31" i="28"/>
  <c r="G31" i="28"/>
  <c r="D31" i="28"/>
  <c r="C31" i="28"/>
  <c r="B31" i="28"/>
  <c r="N30" i="28"/>
  <c r="M30" i="28"/>
  <c r="J30" i="28"/>
  <c r="I30" i="28"/>
  <c r="H30" i="28"/>
  <c r="G30" i="28"/>
  <c r="F30" i="28"/>
  <c r="E30" i="28"/>
  <c r="D30" i="28"/>
  <c r="C30" i="28"/>
  <c r="B30" i="28"/>
  <c r="M29" i="28"/>
  <c r="K29" i="28"/>
  <c r="J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H28" i="28"/>
  <c r="G28" i="28"/>
  <c r="E28" i="28"/>
  <c r="D28" i="28"/>
  <c r="C28" i="28"/>
  <c r="B28" i="28"/>
  <c r="O27" i="28"/>
  <c r="N27" i="28"/>
  <c r="M27" i="28"/>
  <c r="K27" i="28"/>
  <c r="J27" i="28"/>
  <c r="H27" i="28"/>
  <c r="G27" i="28"/>
  <c r="E27" i="28"/>
  <c r="D27" i="28"/>
  <c r="C27" i="28"/>
  <c r="B27" i="28"/>
  <c r="N26" i="28"/>
  <c r="M26" i="28"/>
  <c r="L26" i="28"/>
  <c r="K26" i="28"/>
  <c r="J26" i="28"/>
  <c r="H26" i="28"/>
  <c r="G26" i="28"/>
  <c r="F26" i="28"/>
  <c r="E26" i="28"/>
  <c r="D26" i="28"/>
  <c r="C26" i="28"/>
  <c r="B26" i="28"/>
  <c r="N25" i="28"/>
  <c r="M25" i="28"/>
  <c r="K25" i="28"/>
  <c r="J25" i="28"/>
  <c r="H25" i="28"/>
  <c r="G25" i="28"/>
  <c r="F25" i="28"/>
  <c r="E25" i="28"/>
  <c r="D25" i="28"/>
  <c r="C25" i="28"/>
  <c r="B25" i="28"/>
  <c r="M24" i="28"/>
  <c r="L24" i="28"/>
  <c r="K24" i="28"/>
  <c r="J24" i="28"/>
  <c r="H24" i="28"/>
  <c r="G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M22" i="28"/>
  <c r="K22" i="28"/>
  <c r="J22" i="28"/>
  <c r="H22" i="28"/>
  <c r="G22" i="28"/>
  <c r="F22" i="28"/>
  <c r="E22" i="28"/>
  <c r="D22" i="28"/>
  <c r="C22" i="28"/>
  <c r="B22" i="28"/>
  <c r="N21" i="28"/>
  <c r="M21" i="28"/>
  <c r="L21" i="28"/>
  <c r="K21" i="28"/>
  <c r="J21" i="28"/>
  <c r="G21" i="28"/>
  <c r="F21" i="28"/>
  <c r="E21" i="28"/>
  <c r="D21" i="28"/>
  <c r="C21" i="28"/>
  <c r="B21" i="28"/>
  <c r="N20" i="28"/>
  <c r="M20" i="28"/>
  <c r="K20" i="28"/>
  <c r="J20" i="28"/>
  <c r="H20" i="28"/>
  <c r="G20" i="28"/>
  <c r="D20" i="28"/>
  <c r="C20" i="28"/>
  <c r="B20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N18" i="28"/>
  <c r="M18" i="28"/>
  <c r="K18" i="28"/>
  <c r="J18" i="28"/>
  <c r="H18" i="28"/>
  <c r="G18" i="28"/>
  <c r="F18" i="28"/>
  <c r="E18" i="28"/>
  <c r="D18" i="28"/>
  <c r="C18" i="28"/>
  <c r="B18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N199" i="38" l="1"/>
  <c r="O179" i="38"/>
  <c r="O199" i="38" s="1"/>
  <c r="N27" i="38"/>
  <c r="N172" i="38"/>
  <c r="N31" i="38"/>
  <c r="O152" i="38"/>
  <c r="O155" i="38"/>
  <c r="O31" i="38" s="1"/>
  <c r="O157" i="38"/>
  <c r="O24" i="38" s="1"/>
  <c r="O167" i="38"/>
  <c r="O29" i="38" s="1"/>
  <c r="N21" i="38"/>
  <c r="O145" i="38"/>
  <c r="N145" i="38"/>
  <c r="O98" i="38"/>
  <c r="O118" i="38" s="1"/>
  <c r="N91" i="38"/>
  <c r="N19" i="38"/>
  <c r="O71" i="38"/>
  <c r="O79" i="38"/>
  <c r="O44" i="38"/>
  <c r="H37" i="39"/>
  <c r="L37" i="39"/>
  <c r="I37" i="39"/>
  <c r="F37" i="39"/>
  <c r="N37" i="39"/>
  <c r="K37" i="39"/>
  <c r="O37" i="39"/>
  <c r="E37" i="39"/>
  <c r="G5" i="39"/>
  <c r="G3" i="39"/>
  <c r="G7" i="39"/>
  <c r="G9" i="39"/>
  <c r="H199" i="38"/>
  <c r="E199" i="38"/>
  <c r="F199" i="38"/>
  <c r="I199" i="38"/>
  <c r="L24" i="38"/>
  <c r="L23" i="38"/>
  <c r="K33" i="38"/>
  <c r="K172" i="38"/>
  <c r="L152" i="38"/>
  <c r="L28" i="38"/>
  <c r="K145" i="38"/>
  <c r="L125" i="38"/>
  <c r="L145" i="38" s="1"/>
  <c r="L118" i="38"/>
  <c r="K118" i="38"/>
  <c r="L71" i="38"/>
  <c r="L91" i="38" s="1"/>
  <c r="K30" i="38"/>
  <c r="K34" i="38"/>
  <c r="L64" i="38"/>
  <c r="K64" i="38"/>
  <c r="H28" i="38"/>
  <c r="H20" i="38"/>
  <c r="F21" i="38"/>
  <c r="H24" i="38"/>
  <c r="I156" i="38"/>
  <c r="I23" i="38" s="1"/>
  <c r="F31" i="38"/>
  <c r="F172" i="38"/>
  <c r="H33" i="38"/>
  <c r="H172" i="38"/>
  <c r="F33" i="38"/>
  <c r="I152" i="38"/>
  <c r="I125" i="38"/>
  <c r="I145" i="38" s="1"/>
  <c r="E118" i="38"/>
  <c r="H118" i="38"/>
  <c r="I98" i="38"/>
  <c r="I118" i="38" s="1"/>
  <c r="I87" i="38"/>
  <c r="I19" i="38" s="1"/>
  <c r="F19" i="38"/>
  <c r="F25" i="38"/>
  <c r="E91" i="38"/>
  <c r="H26" i="38"/>
  <c r="I26" i="38"/>
  <c r="H22" i="38"/>
  <c r="F91" i="38"/>
  <c r="I91" i="38"/>
  <c r="H34" i="38"/>
  <c r="I34" i="38"/>
  <c r="H64" i="38"/>
  <c r="F64" i="38"/>
  <c r="I44" i="38"/>
  <c r="I64" i="38"/>
  <c r="G5" i="38" s="1"/>
  <c r="L30" i="38"/>
  <c r="H30" i="38"/>
  <c r="O64" i="38"/>
  <c r="F118" i="38"/>
  <c r="L172" i="38"/>
  <c r="H91" i="38"/>
  <c r="O179" i="37"/>
  <c r="O199" i="37" s="1"/>
  <c r="O156" i="37"/>
  <c r="O33" i="37" s="1"/>
  <c r="O37" i="37" s="1"/>
  <c r="N172" i="37"/>
  <c r="O172" i="37"/>
  <c r="O145" i="37"/>
  <c r="N145" i="37"/>
  <c r="N118" i="37"/>
  <c r="O118" i="37"/>
  <c r="N64" i="37"/>
  <c r="O64" i="37"/>
  <c r="N37" i="38"/>
  <c r="E37" i="38"/>
  <c r="G9" i="38"/>
  <c r="K172" i="37"/>
  <c r="L172" i="37"/>
  <c r="K145" i="37"/>
  <c r="L125" i="37"/>
  <c r="L145" i="37" s="1"/>
  <c r="K118" i="37"/>
  <c r="L118" i="37"/>
  <c r="L64" i="37"/>
  <c r="K64" i="37"/>
  <c r="G5" i="37" s="1"/>
  <c r="I152" i="37"/>
  <c r="I125" i="37"/>
  <c r="I145" i="37" s="1"/>
  <c r="I98" i="37"/>
  <c r="I118" i="37" s="1"/>
  <c r="H64" i="37"/>
  <c r="I64" i="37"/>
  <c r="F31" i="37"/>
  <c r="F37" i="37" s="1"/>
  <c r="F44" i="37"/>
  <c r="F64" i="37" s="1"/>
  <c r="N199" i="36"/>
  <c r="O179" i="36"/>
  <c r="O199" i="36" s="1"/>
  <c r="N172" i="36"/>
  <c r="O172" i="36"/>
  <c r="O118" i="36"/>
  <c r="N118" i="36"/>
  <c r="N33" i="36"/>
  <c r="N37" i="36" s="1"/>
  <c r="N91" i="36"/>
  <c r="O91" i="36"/>
  <c r="N64" i="36"/>
  <c r="O44" i="36"/>
  <c r="O62" i="36"/>
  <c r="O36" i="36" s="1"/>
  <c r="O37" i="36" s="1"/>
  <c r="N37" i="37"/>
  <c r="E37" i="37"/>
  <c r="G3" i="37"/>
  <c r="L37" i="37"/>
  <c r="K37" i="37"/>
  <c r="H37" i="37"/>
  <c r="G7" i="37"/>
  <c r="G9" i="37"/>
  <c r="K199" i="36"/>
  <c r="L179" i="36"/>
  <c r="L199" i="36" s="1"/>
  <c r="K172" i="36"/>
  <c r="L152" i="36"/>
  <c r="L172" i="36" s="1"/>
  <c r="K118" i="36"/>
  <c r="L98" i="36"/>
  <c r="L118" i="36" s="1"/>
  <c r="K34" i="36"/>
  <c r="K37" i="36" s="1"/>
  <c r="K91" i="36"/>
  <c r="L71" i="36"/>
  <c r="L91" i="36" s="1"/>
  <c r="L64" i="36"/>
  <c r="K64" i="36"/>
  <c r="I179" i="36"/>
  <c r="I199" i="36" s="1"/>
  <c r="I152" i="36"/>
  <c r="I172" i="36" s="1"/>
  <c r="I98" i="36"/>
  <c r="I118" i="36" s="1"/>
  <c r="I71" i="36"/>
  <c r="I91" i="36" s="1"/>
  <c r="G7" i="36" s="1"/>
  <c r="I64" i="36"/>
  <c r="H64" i="36"/>
  <c r="F71" i="36"/>
  <c r="F91" i="36" s="1"/>
  <c r="F44" i="36"/>
  <c r="F64" i="36" s="1"/>
  <c r="O179" i="35"/>
  <c r="O199" i="35" s="1"/>
  <c r="N172" i="35"/>
  <c r="O152" i="35"/>
  <c r="O172" i="35" s="1"/>
  <c r="N145" i="35"/>
  <c r="O125" i="35"/>
  <c r="O145" i="35" s="1"/>
  <c r="O98" i="35"/>
  <c r="O118" i="35" s="1"/>
  <c r="O71" i="35"/>
  <c r="O48" i="35"/>
  <c r="O23" i="35" s="1"/>
  <c r="O51" i="35"/>
  <c r="O29" i="35" s="1"/>
  <c r="N64" i="35"/>
  <c r="O44" i="35"/>
  <c r="I37" i="36"/>
  <c r="H37" i="36"/>
  <c r="F37" i="36"/>
  <c r="L37" i="36"/>
  <c r="E37" i="36"/>
  <c r="G3" i="36"/>
  <c r="G9" i="36"/>
  <c r="K199" i="35"/>
  <c r="L179" i="35"/>
  <c r="L199" i="35" s="1"/>
  <c r="K172" i="35"/>
  <c r="L172" i="35"/>
  <c r="L125" i="35"/>
  <c r="L145" i="35" s="1"/>
  <c r="K118" i="35"/>
  <c r="L98" i="35"/>
  <c r="L118" i="35" s="1"/>
  <c r="K28" i="35"/>
  <c r="K37" i="35" s="1"/>
  <c r="K91" i="35"/>
  <c r="L71" i="35"/>
  <c r="K64" i="35"/>
  <c r="L45" i="35"/>
  <c r="L19" i="35" s="1"/>
  <c r="L53" i="35"/>
  <c r="L36" i="35" s="1"/>
  <c r="L64" i="35"/>
  <c r="I179" i="35"/>
  <c r="I199" i="35" s="1"/>
  <c r="I152" i="35"/>
  <c r="I172" i="35" s="1"/>
  <c r="I145" i="35"/>
  <c r="H145" i="35"/>
  <c r="I118" i="35"/>
  <c r="H118" i="35"/>
  <c r="H91" i="35"/>
  <c r="I71" i="35"/>
  <c r="H29" i="35"/>
  <c r="H35" i="35"/>
  <c r="I44" i="35"/>
  <c r="I50" i="35"/>
  <c r="I27" i="35" s="1"/>
  <c r="I53" i="35"/>
  <c r="I36" i="35" s="1"/>
  <c r="F125" i="35"/>
  <c r="F145" i="35" s="1"/>
  <c r="F98" i="35"/>
  <c r="F118" i="35" s="1"/>
  <c r="F71" i="35"/>
  <c r="F75" i="35"/>
  <c r="F34" i="35" s="1"/>
  <c r="F64" i="35"/>
  <c r="O179" i="34"/>
  <c r="O199" i="34" s="1"/>
  <c r="N33" i="34"/>
  <c r="N37" i="34" s="1"/>
  <c r="N172" i="34"/>
  <c r="O163" i="34"/>
  <c r="O28" i="34" s="1"/>
  <c r="O152" i="34"/>
  <c r="N145" i="34"/>
  <c r="O125" i="34"/>
  <c r="O145" i="34" s="1"/>
  <c r="O118" i="34"/>
  <c r="N118" i="34"/>
  <c r="N91" i="34"/>
  <c r="O71" i="34"/>
  <c r="O91" i="34" s="1"/>
  <c r="O64" i="34"/>
  <c r="N64" i="34"/>
  <c r="G9" i="35"/>
  <c r="G3" i="35"/>
  <c r="N37" i="35"/>
  <c r="E37" i="35"/>
  <c r="L199" i="34"/>
  <c r="K199" i="34"/>
  <c r="K172" i="34"/>
  <c r="L172" i="34"/>
  <c r="L125" i="34"/>
  <c r="L145" i="34" s="1"/>
  <c r="L118" i="34"/>
  <c r="K118" i="34"/>
  <c r="L71" i="34"/>
  <c r="L91" i="34" s="1"/>
  <c r="L64" i="34"/>
  <c r="K64" i="34"/>
  <c r="E199" i="34"/>
  <c r="F179" i="34"/>
  <c r="F199" i="34" s="1"/>
  <c r="E172" i="34"/>
  <c r="F152" i="34"/>
  <c r="E118" i="34"/>
  <c r="F98" i="34"/>
  <c r="F118" i="34" s="1"/>
  <c r="E91" i="34"/>
  <c r="F71" i="34"/>
  <c r="F91" i="34" s="1"/>
  <c r="E145" i="34"/>
  <c r="F125" i="34"/>
  <c r="F145" i="34" s="1"/>
  <c r="E64" i="34"/>
  <c r="F44" i="34"/>
  <c r="F64" i="34" s="1"/>
  <c r="I179" i="34"/>
  <c r="I199" i="34" s="1"/>
  <c r="I152" i="34"/>
  <c r="I98" i="34"/>
  <c r="I118" i="34" s="1"/>
  <c r="I91" i="34"/>
  <c r="I44" i="34"/>
  <c r="I64" i="34" s="1"/>
  <c r="G5" i="34" s="1"/>
  <c r="O179" i="33"/>
  <c r="O199" i="33" s="1"/>
  <c r="O172" i="33"/>
  <c r="N172" i="33"/>
  <c r="N145" i="33"/>
  <c r="O125" i="33"/>
  <c r="O145" i="33" s="1"/>
  <c r="N118" i="33"/>
  <c r="O98" i="33"/>
  <c r="O118" i="33" s="1"/>
  <c r="N91" i="33"/>
  <c r="O71" i="33"/>
  <c r="O44" i="33"/>
  <c r="O64" i="33" s="1"/>
  <c r="K37" i="34"/>
  <c r="H37" i="34"/>
  <c r="L37" i="34"/>
  <c r="E37" i="34"/>
  <c r="G7" i="34"/>
  <c r="G3" i="34"/>
  <c r="G9" i="34"/>
  <c r="K199" i="33"/>
  <c r="L179" i="33"/>
  <c r="L199" i="33" s="1"/>
  <c r="K172" i="33"/>
  <c r="L172" i="33"/>
  <c r="K145" i="33"/>
  <c r="L125" i="33"/>
  <c r="L145" i="33" s="1"/>
  <c r="L118" i="33"/>
  <c r="K118" i="33"/>
  <c r="L71" i="33"/>
  <c r="L90" i="33"/>
  <c r="L36" i="33" s="1"/>
  <c r="L64" i="33"/>
  <c r="K64" i="33"/>
  <c r="I179" i="33"/>
  <c r="I199" i="33" s="1"/>
  <c r="I152" i="33"/>
  <c r="I172" i="33" s="1"/>
  <c r="I125" i="33"/>
  <c r="I145" i="33" s="1"/>
  <c r="H118" i="33"/>
  <c r="I98" i="33"/>
  <c r="I118" i="33" s="1"/>
  <c r="H91" i="33"/>
  <c r="I72" i="33"/>
  <c r="I18" i="33" s="1"/>
  <c r="I76" i="33"/>
  <c r="I22" i="33" s="1"/>
  <c r="I80" i="33"/>
  <c r="I26" i="33" s="1"/>
  <c r="I84" i="33"/>
  <c r="I30" i="33" s="1"/>
  <c r="I88" i="33"/>
  <c r="I34" i="33" s="1"/>
  <c r="I64" i="33"/>
  <c r="H64" i="33"/>
  <c r="F118" i="33"/>
  <c r="F71" i="33"/>
  <c r="F44" i="33"/>
  <c r="F64" i="33" s="1"/>
  <c r="O179" i="32"/>
  <c r="O199" i="32" s="1"/>
  <c r="O172" i="32"/>
  <c r="N172" i="32"/>
  <c r="N145" i="32"/>
  <c r="O125" i="32"/>
  <c r="O145" i="32" s="1"/>
  <c r="N23" i="32"/>
  <c r="N30" i="32"/>
  <c r="O98" i="32"/>
  <c r="O101" i="32"/>
  <c r="O20" i="32" s="1"/>
  <c r="O72" i="32"/>
  <c r="O32" i="32" s="1"/>
  <c r="O79" i="32"/>
  <c r="O34" i="32" s="1"/>
  <c r="N91" i="32"/>
  <c r="O91" i="32"/>
  <c r="N64" i="32"/>
  <c r="O44" i="32"/>
  <c r="O64" i="32" s="1"/>
  <c r="K37" i="33"/>
  <c r="E37" i="33"/>
  <c r="H37" i="33"/>
  <c r="N37" i="33"/>
  <c r="G5" i="33"/>
  <c r="G3" i="33"/>
  <c r="G9" i="33"/>
  <c r="K199" i="32"/>
  <c r="L179" i="32"/>
  <c r="L199" i="32" s="1"/>
  <c r="L172" i="32"/>
  <c r="K145" i="32"/>
  <c r="L125" i="32"/>
  <c r="L145" i="32" s="1"/>
  <c r="L98" i="32"/>
  <c r="K91" i="32"/>
  <c r="L72" i="32"/>
  <c r="L32" i="32" s="1"/>
  <c r="L91" i="32"/>
  <c r="L44" i="32"/>
  <c r="L64" i="32" s="1"/>
  <c r="I98" i="32"/>
  <c r="I44" i="32"/>
  <c r="I64" i="32" s="1"/>
  <c r="H199" i="32"/>
  <c r="H29" i="32"/>
  <c r="H91" i="32"/>
  <c r="I179" i="32"/>
  <c r="I199" i="32" s="1"/>
  <c r="G9" i="32" s="1"/>
  <c r="I172" i="32"/>
  <c r="H172" i="32"/>
  <c r="H145" i="32"/>
  <c r="I125" i="32"/>
  <c r="I145" i="32" s="1"/>
  <c r="H34" i="32"/>
  <c r="I71" i="32"/>
  <c r="I72" i="32"/>
  <c r="I32" i="32" s="1"/>
  <c r="F152" i="32"/>
  <c r="F172" i="32" s="1"/>
  <c r="F125" i="32"/>
  <c r="F145" i="32" s="1"/>
  <c r="O179" i="31"/>
  <c r="O199" i="31" s="1"/>
  <c r="O158" i="31"/>
  <c r="O34" i="31" s="1"/>
  <c r="N172" i="31"/>
  <c r="O125" i="31"/>
  <c r="O145" i="31" s="1"/>
  <c r="O118" i="31"/>
  <c r="O17" i="31"/>
  <c r="O37" i="31" s="1"/>
  <c r="N118" i="31"/>
  <c r="N91" i="31"/>
  <c r="N64" i="31"/>
  <c r="K37" i="32"/>
  <c r="E37" i="32"/>
  <c r="F37" i="32"/>
  <c r="G5" i="32"/>
  <c r="F44" i="31"/>
  <c r="F31" i="31" s="1"/>
  <c r="O64" i="31"/>
  <c r="F46" i="31"/>
  <c r="F30" i="31" s="1"/>
  <c r="L47" i="31"/>
  <c r="I49" i="31"/>
  <c r="I51" i="31"/>
  <c r="F53" i="31"/>
  <c r="F55" i="31"/>
  <c r="F27" i="31" s="1"/>
  <c r="L55" i="31"/>
  <c r="L27" i="31" s="1"/>
  <c r="I58" i="31"/>
  <c r="I60" i="31"/>
  <c r="F62" i="31"/>
  <c r="I71" i="31"/>
  <c r="I21" i="31" s="1"/>
  <c r="F72" i="31"/>
  <c r="F32" i="31" s="1"/>
  <c r="I73" i="31"/>
  <c r="I91" i="31" s="1"/>
  <c r="F74" i="31"/>
  <c r="F19" i="31" s="1"/>
  <c r="I75" i="31"/>
  <c r="I77" i="31"/>
  <c r="I79" i="31"/>
  <c r="F80" i="31"/>
  <c r="F25" i="31" s="1"/>
  <c r="I81" i="31"/>
  <c r="F82" i="31"/>
  <c r="I83" i="31"/>
  <c r="I28" i="31" s="1"/>
  <c r="I85" i="31"/>
  <c r="I18" i="31" s="1"/>
  <c r="I86" i="31"/>
  <c r="I87" i="31"/>
  <c r="I88" i="31"/>
  <c r="I89" i="31"/>
  <c r="I90" i="31"/>
  <c r="F73" i="31"/>
  <c r="F75" i="31"/>
  <c r="L75" i="31"/>
  <c r="I76" i="31"/>
  <c r="F77" i="31"/>
  <c r="L77" i="31"/>
  <c r="I78" i="31"/>
  <c r="F79" i="31"/>
  <c r="F81" i="31"/>
  <c r="F83" i="31"/>
  <c r="F28" i="31" s="1"/>
  <c r="L83" i="31"/>
  <c r="L28" i="31" s="1"/>
  <c r="I84" i="31"/>
  <c r="F85" i="31"/>
  <c r="F18" i="31" s="1"/>
  <c r="L85" i="31"/>
  <c r="L18" i="31" s="1"/>
  <c r="F86" i="31"/>
  <c r="L86" i="31"/>
  <c r="F87" i="31"/>
  <c r="L87" i="31"/>
  <c r="F88" i="31"/>
  <c r="L88" i="31"/>
  <c r="F89" i="31"/>
  <c r="L89" i="31"/>
  <c r="F90" i="31"/>
  <c r="F118" i="31"/>
  <c r="O91" i="31"/>
  <c r="F172" i="31"/>
  <c r="O172" i="31"/>
  <c r="K172" i="31"/>
  <c r="L152" i="31"/>
  <c r="K118" i="31"/>
  <c r="L118" i="31"/>
  <c r="L71" i="31"/>
  <c r="L44" i="31"/>
  <c r="I152" i="31"/>
  <c r="I98" i="31"/>
  <c r="H32" i="31"/>
  <c r="H37" i="31" s="1"/>
  <c r="H91" i="31"/>
  <c r="H64" i="31"/>
  <c r="I44" i="31"/>
  <c r="F33" i="31"/>
  <c r="F71" i="31"/>
  <c r="F64" i="31"/>
  <c r="K37" i="31"/>
  <c r="O199" i="30"/>
  <c r="N199" i="30"/>
  <c r="N172" i="30"/>
  <c r="O152" i="30"/>
  <c r="O172" i="30" s="1"/>
  <c r="N145" i="30"/>
  <c r="O125" i="30"/>
  <c r="O145" i="30" s="1"/>
  <c r="N19" i="30"/>
  <c r="N23" i="30"/>
  <c r="N25" i="30"/>
  <c r="O109" i="30"/>
  <c r="O28" i="30" s="1"/>
  <c r="O112" i="30"/>
  <c r="O31" i="30" s="1"/>
  <c r="O116" i="30"/>
  <c r="O35" i="30" s="1"/>
  <c r="N118" i="30"/>
  <c r="O118" i="30"/>
  <c r="O73" i="30"/>
  <c r="O32" i="30" s="1"/>
  <c r="O74" i="30"/>
  <c r="O33" i="30" s="1"/>
  <c r="O91" i="30"/>
  <c r="N91" i="30"/>
  <c r="O44" i="30"/>
  <c r="N37" i="31"/>
  <c r="E37" i="31"/>
  <c r="G9" i="31"/>
  <c r="K199" i="30"/>
  <c r="L179" i="30"/>
  <c r="L199" i="30" s="1"/>
  <c r="K172" i="30"/>
  <c r="L152" i="30"/>
  <c r="L172" i="30" s="1"/>
  <c r="K145" i="30"/>
  <c r="L145" i="30"/>
  <c r="L118" i="30"/>
  <c r="L112" i="30"/>
  <c r="L31" i="30" s="1"/>
  <c r="K118" i="30"/>
  <c r="L71" i="30"/>
  <c r="L74" i="30"/>
  <c r="L33" i="30" s="1"/>
  <c r="K32" i="30"/>
  <c r="K37" i="30" s="1"/>
  <c r="L44" i="30"/>
  <c r="I179" i="30"/>
  <c r="I199" i="30" s="1"/>
  <c r="I152" i="30"/>
  <c r="I172" i="30" s="1"/>
  <c r="I145" i="30"/>
  <c r="H145" i="30"/>
  <c r="H118" i="30"/>
  <c r="I98" i="30"/>
  <c r="I71" i="30"/>
  <c r="I44" i="30"/>
  <c r="F125" i="30"/>
  <c r="F145" i="30" s="1"/>
  <c r="F118" i="30"/>
  <c r="F71" i="30"/>
  <c r="N30" i="29"/>
  <c r="E37" i="30"/>
  <c r="H37" i="30"/>
  <c r="G9" i="30"/>
  <c r="N64" i="29"/>
  <c r="N199" i="29"/>
  <c r="O179" i="29"/>
  <c r="O199" i="29" s="1"/>
  <c r="G9" i="29" s="1"/>
  <c r="N172" i="29"/>
  <c r="O172" i="29"/>
  <c r="O145" i="29"/>
  <c r="N145" i="29"/>
  <c r="N31" i="29"/>
  <c r="O115" i="29"/>
  <c r="O34" i="29" s="1"/>
  <c r="N118" i="29"/>
  <c r="O98" i="29"/>
  <c r="O74" i="29"/>
  <c r="O36" i="29" s="1"/>
  <c r="N91" i="29"/>
  <c r="O44" i="29"/>
  <c r="K199" i="29"/>
  <c r="L179" i="29"/>
  <c r="L199" i="29" s="1"/>
  <c r="K172" i="29"/>
  <c r="L152" i="29"/>
  <c r="L172" i="29" s="1"/>
  <c r="K145" i="29"/>
  <c r="L113" i="29"/>
  <c r="L32" i="29" s="1"/>
  <c r="L115" i="29"/>
  <c r="L34" i="29" s="1"/>
  <c r="K118" i="29"/>
  <c r="K91" i="29"/>
  <c r="L71" i="29"/>
  <c r="L91" i="29" s="1"/>
  <c r="L45" i="29"/>
  <c r="L18" i="29" s="1"/>
  <c r="K64" i="29"/>
  <c r="L64" i="29"/>
  <c r="I179" i="29"/>
  <c r="I199" i="29" s="1"/>
  <c r="H172" i="29"/>
  <c r="H145" i="29"/>
  <c r="H30" i="29"/>
  <c r="H37" i="29" s="1"/>
  <c r="H91" i="29"/>
  <c r="I152" i="29"/>
  <c r="I172" i="29" s="1"/>
  <c r="I125" i="29"/>
  <c r="I145" i="29" s="1"/>
  <c r="I98" i="29"/>
  <c r="I114" i="29"/>
  <c r="I33" i="29" s="1"/>
  <c r="I71" i="29"/>
  <c r="I91" i="29" s="1"/>
  <c r="H64" i="29"/>
  <c r="I44" i="29"/>
  <c r="E32" i="29"/>
  <c r="E145" i="29"/>
  <c r="E118" i="29"/>
  <c r="E36" i="29"/>
  <c r="E91" i="29"/>
  <c r="E64" i="29"/>
  <c r="F125" i="29"/>
  <c r="F145" i="29" s="1"/>
  <c r="F98" i="29"/>
  <c r="F71" i="29"/>
  <c r="F91" i="29" s="1"/>
  <c r="F44" i="29"/>
  <c r="O199" i="28"/>
  <c r="N199" i="28"/>
  <c r="N172" i="28"/>
  <c r="O152" i="28"/>
  <c r="N145" i="28"/>
  <c r="O125" i="28"/>
  <c r="O145" i="28" s="1"/>
  <c r="N31" i="28"/>
  <c r="N37" i="28" s="1"/>
  <c r="O98" i="28"/>
  <c r="O103" i="28"/>
  <c r="O22" i="28" s="1"/>
  <c r="O105" i="28"/>
  <c r="O24" i="28" s="1"/>
  <c r="O110" i="28"/>
  <c r="O29" i="28" s="1"/>
  <c r="O117" i="28"/>
  <c r="O36" i="28" s="1"/>
  <c r="O71" i="28"/>
  <c r="N64" i="28"/>
  <c r="O64" i="28"/>
  <c r="K37" i="29"/>
  <c r="L199" i="28"/>
  <c r="K199" i="28"/>
  <c r="K145" i="28"/>
  <c r="L126" i="28"/>
  <c r="L111" i="28"/>
  <c r="L30" i="28" s="1"/>
  <c r="L115" i="28"/>
  <c r="L34" i="28" s="1"/>
  <c r="K118" i="28"/>
  <c r="L99" i="28"/>
  <c r="L18" i="28" s="1"/>
  <c r="L118" i="28"/>
  <c r="L91" i="28"/>
  <c r="K91" i="28"/>
  <c r="L64" i="28"/>
  <c r="L27" i="28"/>
  <c r="K64" i="28"/>
  <c r="H34" i="28"/>
  <c r="H199" i="28"/>
  <c r="I179" i="28"/>
  <c r="I199" i="28" s="1"/>
  <c r="H172" i="28"/>
  <c r="H145" i="28"/>
  <c r="I145" i="28"/>
  <c r="H29" i="28"/>
  <c r="I102" i="28"/>
  <c r="I21" i="28" s="1"/>
  <c r="I117" i="28"/>
  <c r="I36" i="28" s="1"/>
  <c r="H118" i="28"/>
  <c r="I98" i="28"/>
  <c r="H91" i="28"/>
  <c r="I91" i="28"/>
  <c r="H64" i="28"/>
  <c r="I64" i="28"/>
  <c r="E24" i="28"/>
  <c r="E32" i="28"/>
  <c r="E20" i="28"/>
  <c r="E199" i="28"/>
  <c r="E31" i="28"/>
  <c r="E36" i="28"/>
  <c r="E118" i="28"/>
  <c r="E91" i="28"/>
  <c r="E64" i="28"/>
  <c r="F179" i="28"/>
  <c r="F199" i="28" s="1"/>
  <c r="E33" i="28"/>
  <c r="F44" i="28"/>
  <c r="F172" i="28"/>
  <c r="E172" i="28"/>
  <c r="E145" i="28"/>
  <c r="F126" i="28"/>
  <c r="F145" i="28" s="1"/>
  <c r="F98" i="28"/>
  <c r="F118" i="28" s="1"/>
  <c r="F71" i="28"/>
  <c r="I172" i="28"/>
  <c r="O172" i="28"/>
  <c r="L172" i="28"/>
  <c r="K172" i="28"/>
  <c r="L145" i="28"/>
  <c r="K37" i="28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199" i="27"/>
  <c r="I188" i="27" s="1"/>
  <c r="N198" i="27"/>
  <c r="O198" i="27" s="1"/>
  <c r="K198" i="27"/>
  <c r="L198" i="27" s="1"/>
  <c r="H198" i="27"/>
  <c r="I198" i="27" s="1"/>
  <c r="E198" i="27"/>
  <c r="F198" i="27" s="1"/>
  <c r="N197" i="27"/>
  <c r="O197" i="27" s="1"/>
  <c r="K197" i="27"/>
  <c r="L197" i="27" s="1"/>
  <c r="H197" i="27"/>
  <c r="E197" i="27"/>
  <c r="F197" i="27" s="1"/>
  <c r="N196" i="27"/>
  <c r="O196" i="27" s="1"/>
  <c r="K196" i="27"/>
  <c r="L196" i="27" s="1"/>
  <c r="I196" i="27"/>
  <c r="H196" i="27"/>
  <c r="E196" i="27"/>
  <c r="N195" i="27"/>
  <c r="O195" i="27" s="1"/>
  <c r="L195" i="27"/>
  <c r="K195" i="27"/>
  <c r="H195" i="27"/>
  <c r="I195" i="27" s="1"/>
  <c r="E195" i="27"/>
  <c r="F195" i="27" s="1"/>
  <c r="N194" i="27"/>
  <c r="O194" i="27" s="1"/>
  <c r="K194" i="27"/>
  <c r="L194" i="27" s="1"/>
  <c r="H194" i="27"/>
  <c r="I194" i="27" s="1"/>
  <c r="E194" i="27"/>
  <c r="N193" i="27"/>
  <c r="O193" i="27" s="1"/>
  <c r="L193" i="27"/>
  <c r="K193" i="27"/>
  <c r="H193" i="27"/>
  <c r="I193" i="27" s="1"/>
  <c r="E193" i="27"/>
  <c r="F193" i="27" s="1"/>
  <c r="O192" i="27"/>
  <c r="N192" i="27"/>
  <c r="K192" i="27"/>
  <c r="L192" i="27" s="1"/>
  <c r="I192" i="27"/>
  <c r="H192" i="27"/>
  <c r="E192" i="27"/>
  <c r="F192" i="27" s="1"/>
  <c r="N191" i="27"/>
  <c r="O191" i="27" s="1"/>
  <c r="K191" i="27"/>
  <c r="L191" i="27" s="1"/>
  <c r="H191" i="27"/>
  <c r="I191" i="27" s="1"/>
  <c r="E191" i="27"/>
  <c r="F191" i="27" s="1"/>
  <c r="N190" i="27"/>
  <c r="O190" i="27" s="1"/>
  <c r="K190" i="27"/>
  <c r="L190" i="27" s="1"/>
  <c r="H190" i="27"/>
  <c r="E190" i="27"/>
  <c r="F190" i="27" s="1"/>
  <c r="N189" i="27"/>
  <c r="O189" i="27" s="1"/>
  <c r="K189" i="27"/>
  <c r="L189" i="27" s="1"/>
  <c r="H189" i="27"/>
  <c r="I189" i="27" s="1"/>
  <c r="E189" i="27"/>
  <c r="F189" i="27" s="1"/>
  <c r="N188" i="27"/>
  <c r="O188" i="27" s="1"/>
  <c r="K188" i="27"/>
  <c r="L188" i="27" s="1"/>
  <c r="H188" i="27"/>
  <c r="E188" i="27"/>
  <c r="F188" i="27" s="1"/>
  <c r="O187" i="27"/>
  <c r="N187" i="27"/>
  <c r="K187" i="27"/>
  <c r="L187" i="27" s="1"/>
  <c r="H187" i="27"/>
  <c r="I187" i="27" s="1"/>
  <c r="E187" i="27"/>
  <c r="N186" i="27"/>
  <c r="O186" i="27" s="1"/>
  <c r="K186" i="27"/>
  <c r="L186" i="27" s="1"/>
  <c r="H186" i="27"/>
  <c r="I186" i="27" s="1"/>
  <c r="E186" i="27"/>
  <c r="F186" i="27" s="1"/>
  <c r="N185" i="27"/>
  <c r="O185" i="27" s="1"/>
  <c r="K185" i="27"/>
  <c r="L185" i="27" s="1"/>
  <c r="H185" i="27"/>
  <c r="I185" i="27" s="1"/>
  <c r="E185" i="27"/>
  <c r="N184" i="27"/>
  <c r="O184" i="27" s="1"/>
  <c r="K184" i="27"/>
  <c r="L184" i="27" s="1"/>
  <c r="I184" i="27"/>
  <c r="H184" i="27"/>
  <c r="E184" i="27"/>
  <c r="F184" i="27" s="1"/>
  <c r="N183" i="27"/>
  <c r="O183" i="27" s="1"/>
  <c r="K183" i="27"/>
  <c r="L183" i="27" s="1"/>
  <c r="H183" i="27"/>
  <c r="E183" i="27"/>
  <c r="F183" i="27" s="1"/>
  <c r="N182" i="27"/>
  <c r="O182" i="27" s="1"/>
  <c r="L182" i="27"/>
  <c r="K182" i="27"/>
  <c r="H182" i="27"/>
  <c r="I182" i="27" s="1"/>
  <c r="E182" i="27"/>
  <c r="F182" i="27" s="1"/>
  <c r="N181" i="27"/>
  <c r="O181" i="27" s="1"/>
  <c r="K181" i="27"/>
  <c r="L181" i="27" s="1"/>
  <c r="H181" i="27"/>
  <c r="E181" i="27"/>
  <c r="F181" i="27" s="1"/>
  <c r="N180" i="27"/>
  <c r="O180" i="27" s="1"/>
  <c r="L180" i="27"/>
  <c r="K180" i="27"/>
  <c r="I180" i="27"/>
  <c r="H180" i="27"/>
  <c r="E180" i="27"/>
  <c r="F180" i="27" s="1"/>
  <c r="O179" i="27"/>
  <c r="N179" i="27"/>
  <c r="K179" i="27"/>
  <c r="K199" i="27" s="1"/>
  <c r="H179" i="27"/>
  <c r="H199" i="27" s="1"/>
  <c r="E179" i="27"/>
  <c r="E199" i="27" s="1"/>
  <c r="M177" i="27"/>
  <c r="J177" i="27"/>
  <c r="G177" i="27"/>
  <c r="D177" i="27"/>
  <c r="B177" i="27"/>
  <c r="M176" i="27"/>
  <c r="G176" i="27"/>
  <c r="B172" i="27"/>
  <c r="I167" i="27" s="1"/>
  <c r="N171" i="27"/>
  <c r="O171" i="27" s="1"/>
  <c r="K171" i="27"/>
  <c r="L171" i="27" s="1"/>
  <c r="H171" i="27"/>
  <c r="E171" i="27"/>
  <c r="N170" i="27"/>
  <c r="O170" i="27" s="1"/>
  <c r="K170" i="27"/>
  <c r="L170" i="27" s="1"/>
  <c r="H170" i="27"/>
  <c r="E170" i="27"/>
  <c r="F170" i="27" s="1"/>
  <c r="O169" i="27"/>
  <c r="N169" i="27"/>
  <c r="K169" i="27"/>
  <c r="L169" i="27" s="1"/>
  <c r="L21" i="27" s="1"/>
  <c r="H169" i="27"/>
  <c r="E169" i="27"/>
  <c r="F169" i="27" s="1"/>
  <c r="F21" i="27" s="1"/>
  <c r="N168" i="27"/>
  <c r="O168" i="27" s="1"/>
  <c r="K168" i="27"/>
  <c r="L168" i="27" s="1"/>
  <c r="H168" i="27"/>
  <c r="I168" i="27" s="1"/>
  <c r="E168" i="27"/>
  <c r="N167" i="27"/>
  <c r="O167" i="27" s="1"/>
  <c r="K167" i="27"/>
  <c r="L167" i="27" s="1"/>
  <c r="H167" i="27"/>
  <c r="E167" i="27"/>
  <c r="F167" i="27" s="1"/>
  <c r="N166" i="27"/>
  <c r="O166" i="27" s="1"/>
  <c r="O20" i="27" s="1"/>
  <c r="K166" i="27"/>
  <c r="K20" i="27" s="1"/>
  <c r="H166" i="27"/>
  <c r="E166" i="27"/>
  <c r="N165" i="27"/>
  <c r="O165" i="27" s="1"/>
  <c r="K165" i="27"/>
  <c r="L165" i="27" s="1"/>
  <c r="I165" i="27"/>
  <c r="H165" i="27"/>
  <c r="E165" i="27"/>
  <c r="N164" i="27"/>
  <c r="O164" i="27" s="1"/>
  <c r="L164" i="27"/>
  <c r="K164" i="27"/>
  <c r="H164" i="27"/>
  <c r="E164" i="27"/>
  <c r="F164" i="27" s="1"/>
  <c r="O163" i="27"/>
  <c r="N163" i="27"/>
  <c r="K163" i="27"/>
  <c r="L163" i="27" s="1"/>
  <c r="H163" i="27"/>
  <c r="I163" i="27" s="1"/>
  <c r="E163" i="27"/>
  <c r="N162" i="27"/>
  <c r="O162" i="27" s="1"/>
  <c r="L162" i="27"/>
  <c r="K162" i="27"/>
  <c r="H162" i="27"/>
  <c r="E162" i="27"/>
  <c r="F162" i="27" s="1"/>
  <c r="O161" i="27"/>
  <c r="N161" i="27"/>
  <c r="K161" i="27"/>
  <c r="L161" i="27" s="1"/>
  <c r="I161" i="27"/>
  <c r="H161" i="27"/>
  <c r="E161" i="27"/>
  <c r="N160" i="27"/>
  <c r="O160" i="27" s="1"/>
  <c r="K160" i="27"/>
  <c r="L160" i="27" s="1"/>
  <c r="H160" i="27"/>
  <c r="I160" i="27" s="1"/>
  <c r="E160" i="27"/>
  <c r="F160" i="27" s="1"/>
  <c r="N159" i="27"/>
  <c r="O159" i="27" s="1"/>
  <c r="K159" i="27"/>
  <c r="L159" i="27" s="1"/>
  <c r="H159" i="27"/>
  <c r="E159" i="27"/>
  <c r="O158" i="27"/>
  <c r="N158" i="27"/>
  <c r="K158" i="27"/>
  <c r="L158" i="27" s="1"/>
  <c r="H158" i="27"/>
  <c r="I158" i="27" s="1"/>
  <c r="E158" i="27"/>
  <c r="F158" i="27" s="1"/>
  <c r="N157" i="27"/>
  <c r="O157" i="27" s="1"/>
  <c r="K157" i="27"/>
  <c r="L157" i="27" s="1"/>
  <c r="H157" i="27"/>
  <c r="E157" i="27"/>
  <c r="F157" i="27" s="1"/>
  <c r="N156" i="27"/>
  <c r="O156" i="27" s="1"/>
  <c r="O19" i="27" s="1"/>
  <c r="K156" i="27"/>
  <c r="L156" i="27" s="1"/>
  <c r="L19" i="27" s="1"/>
  <c r="H156" i="27"/>
  <c r="I156" i="27" s="1"/>
  <c r="I19" i="27" s="1"/>
  <c r="E156" i="27"/>
  <c r="N155" i="27"/>
  <c r="O155" i="27" s="1"/>
  <c r="K155" i="27"/>
  <c r="L155" i="27" s="1"/>
  <c r="H155" i="27"/>
  <c r="I155" i="27" s="1"/>
  <c r="E155" i="27"/>
  <c r="F155" i="27" s="1"/>
  <c r="O154" i="27"/>
  <c r="O18" i="27" s="1"/>
  <c r="N154" i="27"/>
  <c r="K154" i="27"/>
  <c r="L154" i="27" s="1"/>
  <c r="L18" i="27" s="1"/>
  <c r="H154" i="27"/>
  <c r="I154" i="27" s="1"/>
  <c r="I18" i="27" s="1"/>
  <c r="E154" i="27"/>
  <c r="N153" i="27"/>
  <c r="O153" i="27" s="1"/>
  <c r="O17" i="27" s="1"/>
  <c r="K153" i="27"/>
  <c r="K172" i="27" s="1"/>
  <c r="I153" i="27"/>
  <c r="H153" i="27"/>
  <c r="E153" i="27"/>
  <c r="F153" i="27" s="1"/>
  <c r="F17" i="27" s="1"/>
  <c r="N152" i="27"/>
  <c r="K152" i="27"/>
  <c r="L152" i="27" s="1"/>
  <c r="H152" i="27"/>
  <c r="H172" i="27" s="1"/>
  <c r="E152" i="27"/>
  <c r="E172" i="27" s="1"/>
  <c r="M150" i="27"/>
  <c r="J150" i="27"/>
  <c r="G150" i="27"/>
  <c r="D150" i="27"/>
  <c r="B150" i="27"/>
  <c r="M149" i="27"/>
  <c r="G149" i="27"/>
  <c r="B145" i="27"/>
  <c r="F138" i="27" s="1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E141" i="27"/>
  <c r="N140" i="27"/>
  <c r="O140" i="27" s="1"/>
  <c r="K140" i="27"/>
  <c r="L140" i="27" s="1"/>
  <c r="H140" i="27"/>
  <c r="I140" i="27" s="1"/>
  <c r="F140" i="27"/>
  <c r="E140" i="27"/>
  <c r="N139" i="27"/>
  <c r="O139" i="27" s="1"/>
  <c r="K139" i="27"/>
  <c r="L139" i="27" s="1"/>
  <c r="H139" i="27"/>
  <c r="F139" i="27"/>
  <c r="E139" i="27"/>
  <c r="N138" i="27"/>
  <c r="O138" i="27" s="1"/>
  <c r="L138" i="27"/>
  <c r="K138" i="27"/>
  <c r="H138" i="27"/>
  <c r="I138" i="27" s="1"/>
  <c r="E138" i="27"/>
  <c r="N137" i="27"/>
  <c r="O137" i="27" s="1"/>
  <c r="K137" i="27"/>
  <c r="L137" i="27" s="1"/>
  <c r="H137" i="27"/>
  <c r="I137" i="27" s="1"/>
  <c r="F137" i="27"/>
  <c r="E137" i="27"/>
  <c r="N136" i="27"/>
  <c r="O136" i="27" s="1"/>
  <c r="K136" i="27"/>
  <c r="L136" i="27" s="1"/>
  <c r="H136" i="27"/>
  <c r="I136" i="27" s="1"/>
  <c r="F136" i="27"/>
  <c r="E136" i="27"/>
  <c r="N135" i="27"/>
  <c r="O135" i="27" s="1"/>
  <c r="K135" i="27"/>
  <c r="L135" i="27" s="1"/>
  <c r="H135" i="27"/>
  <c r="F135" i="27"/>
  <c r="E135" i="27"/>
  <c r="N134" i="27"/>
  <c r="O134" i="27" s="1"/>
  <c r="L134" i="27"/>
  <c r="K134" i="27"/>
  <c r="H134" i="27"/>
  <c r="I134" i="27" s="1"/>
  <c r="E134" i="27"/>
  <c r="N133" i="27"/>
  <c r="O133" i="27" s="1"/>
  <c r="K133" i="27"/>
  <c r="L133" i="27" s="1"/>
  <c r="H133" i="27"/>
  <c r="I133" i="27" s="1"/>
  <c r="F133" i="27"/>
  <c r="E133" i="27"/>
  <c r="N132" i="27"/>
  <c r="O132" i="27" s="1"/>
  <c r="L132" i="27"/>
  <c r="K132" i="27"/>
  <c r="H132" i="27"/>
  <c r="I132" i="27" s="1"/>
  <c r="F132" i="27"/>
  <c r="E132" i="27"/>
  <c r="N131" i="27"/>
  <c r="O131" i="27" s="1"/>
  <c r="L131" i="27"/>
  <c r="K131" i="27"/>
  <c r="H131" i="27"/>
  <c r="F131" i="27"/>
  <c r="E131" i="27"/>
  <c r="N130" i="27"/>
  <c r="O130" i="27" s="1"/>
  <c r="K130" i="27"/>
  <c r="L130" i="27" s="1"/>
  <c r="H130" i="27"/>
  <c r="I130" i="27" s="1"/>
  <c r="E130" i="27"/>
  <c r="N129" i="27"/>
  <c r="O129" i="27" s="1"/>
  <c r="K129" i="27"/>
  <c r="L129" i="27" s="1"/>
  <c r="H129" i="27"/>
  <c r="I129" i="27" s="1"/>
  <c r="F129" i="27"/>
  <c r="E129" i="27"/>
  <c r="O128" i="27"/>
  <c r="N128" i="27"/>
  <c r="L128" i="27"/>
  <c r="K128" i="27"/>
  <c r="H128" i="27"/>
  <c r="I128" i="27" s="1"/>
  <c r="F128" i="27"/>
  <c r="E128" i="27"/>
  <c r="N127" i="27"/>
  <c r="O127" i="27" s="1"/>
  <c r="K127" i="27"/>
  <c r="L127" i="27" s="1"/>
  <c r="H127" i="27"/>
  <c r="F127" i="27"/>
  <c r="E127" i="27"/>
  <c r="N126" i="27"/>
  <c r="O126" i="27" s="1"/>
  <c r="K126" i="27"/>
  <c r="L126" i="27" s="1"/>
  <c r="H126" i="27"/>
  <c r="I126" i="27" s="1"/>
  <c r="E126" i="27"/>
  <c r="O125" i="27"/>
  <c r="N125" i="27"/>
  <c r="L125" i="27"/>
  <c r="K125" i="27"/>
  <c r="H125" i="27"/>
  <c r="H145" i="27" s="1"/>
  <c r="F125" i="27"/>
  <c r="E125" i="27"/>
  <c r="E145" i="27" s="1"/>
  <c r="M123" i="27"/>
  <c r="J123" i="27"/>
  <c r="G123" i="27"/>
  <c r="D123" i="27"/>
  <c r="B123" i="27"/>
  <c r="M122" i="27"/>
  <c r="G122" i="27"/>
  <c r="B118" i="27"/>
  <c r="I110" i="27" s="1"/>
  <c r="N117" i="27"/>
  <c r="O117" i="27" s="1"/>
  <c r="K117" i="27"/>
  <c r="L117" i="27" s="1"/>
  <c r="H117" i="27"/>
  <c r="E117" i="27"/>
  <c r="N116" i="27"/>
  <c r="O116" i="27" s="1"/>
  <c r="K116" i="27"/>
  <c r="L116" i="27" s="1"/>
  <c r="I116" i="27"/>
  <c r="H116" i="27"/>
  <c r="E116" i="27"/>
  <c r="O115" i="27"/>
  <c r="N115" i="27"/>
  <c r="L115" i="27"/>
  <c r="K115" i="27"/>
  <c r="H115" i="27"/>
  <c r="E115" i="27"/>
  <c r="F115" i="27" s="1"/>
  <c r="N114" i="27"/>
  <c r="O114" i="27" s="1"/>
  <c r="K114" i="27"/>
  <c r="L114" i="27" s="1"/>
  <c r="I114" i="27"/>
  <c r="H114" i="27"/>
  <c r="E114" i="27"/>
  <c r="O113" i="27"/>
  <c r="N113" i="27"/>
  <c r="K113" i="27"/>
  <c r="L113" i="27" s="1"/>
  <c r="H113" i="27"/>
  <c r="I113" i="27" s="1"/>
  <c r="E113" i="27"/>
  <c r="F113" i="27" s="1"/>
  <c r="N112" i="27"/>
  <c r="O112" i="27" s="1"/>
  <c r="K112" i="27"/>
  <c r="L112" i="27" s="1"/>
  <c r="H112" i="27"/>
  <c r="E112" i="27"/>
  <c r="F112" i="27" s="1"/>
  <c r="N111" i="27"/>
  <c r="O111" i="27" s="1"/>
  <c r="K111" i="27"/>
  <c r="L111" i="27" s="1"/>
  <c r="H111" i="27"/>
  <c r="I111" i="27" s="1"/>
  <c r="E111" i="27"/>
  <c r="N110" i="27"/>
  <c r="O110" i="27" s="1"/>
  <c r="K110" i="27"/>
  <c r="L110" i="27" s="1"/>
  <c r="H110" i="27"/>
  <c r="E110" i="27"/>
  <c r="F110" i="27" s="1"/>
  <c r="N109" i="27"/>
  <c r="O109" i="27" s="1"/>
  <c r="K109" i="27"/>
  <c r="L109" i="27" s="1"/>
  <c r="H109" i="27"/>
  <c r="E109" i="27"/>
  <c r="N108" i="27"/>
  <c r="O108" i="27" s="1"/>
  <c r="K108" i="27"/>
  <c r="L108" i="27" s="1"/>
  <c r="I108" i="27"/>
  <c r="H108" i="27"/>
  <c r="E108" i="27"/>
  <c r="N107" i="27"/>
  <c r="O107" i="27" s="1"/>
  <c r="K107" i="27"/>
  <c r="L107" i="27" s="1"/>
  <c r="H107" i="27"/>
  <c r="E107" i="27"/>
  <c r="F107" i="27" s="1"/>
  <c r="O106" i="27"/>
  <c r="N106" i="27"/>
  <c r="L106" i="27"/>
  <c r="K106" i="27"/>
  <c r="I106" i="27"/>
  <c r="H106" i="27"/>
  <c r="E106" i="27"/>
  <c r="N105" i="27"/>
  <c r="O105" i="27" s="1"/>
  <c r="K105" i="27"/>
  <c r="L105" i="27" s="1"/>
  <c r="H105" i="27"/>
  <c r="I105" i="27" s="1"/>
  <c r="E105" i="27"/>
  <c r="F105" i="27" s="1"/>
  <c r="O104" i="27"/>
  <c r="N104" i="27"/>
  <c r="L104" i="27"/>
  <c r="K104" i="27"/>
  <c r="H104" i="27"/>
  <c r="E104" i="27"/>
  <c r="F104" i="27" s="1"/>
  <c r="N103" i="27"/>
  <c r="O103" i="27" s="1"/>
  <c r="K103" i="27"/>
  <c r="L103" i="27" s="1"/>
  <c r="H103" i="27"/>
  <c r="I103" i="27" s="1"/>
  <c r="E103" i="27"/>
  <c r="N102" i="27"/>
  <c r="O102" i="27" s="1"/>
  <c r="K102" i="27"/>
  <c r="L102" i="27" s="1"/>
  <c r="H102" i="27"/>
  <c r="E102" i="27"/>
  <c r="F102" i="27" s="1"/>
  <c r="N101" i="27"/>
  <c r="O101" i="27" s="1"/>
  <c r="K101" i="27"/>
  <c r="L101" i="27" s="1"/>
  <c r="H101" i="27"/>
  <c r="E101" i="27"/>
  <c r="N100" i="27"/>
  <c r="O100" i="27" s="1"/>
  <c r="K100" i="27"/>
  <c r="L100" i="27" s="1"/>
  <c r="I100" i="27"/>
  <c r="H100" i="27"/>
  <c r="E100" i="27"/>
  <c r="N99" i="27"/>
  <c r="O99" i="27" s="1"/>
  <c r="L99" i="27"/>
  <c r="K99" i="27"/>
  <c r="H99" i="27"/>
  <c r="E99" i="27"/>
  <c r="F99" i="27" s="1"/>
  <c r="N98" i="27"/>
  <c r="K98" i="27"/>
  <c r="I98" i="27"/>
  <c r="H98" i="27"/>
  <c r="E98" i="27"/>
  <c r="E118" i="27" s="1"/>
  <c r="M96" i="27"/>
  <c r="J96" i="27"/>
  <c r="G96" i="27"/>
  <c r="D96" i="27"/>
  <c r="B96" i="27"/>
  <c r="M95" i="27"/>
  <c r="G95" i="27"/>
  <c r="B91" i="27"/>
  <c r="F87" i="27" s="1"/>
  <c r="N90" i="27"/>
  <c r="O90" i="27" s="1"/>
  <c r="L90" i="27"/>
  <c r="K90" i="27"/>
  <c r="H90" i="27"/>
  <c r="I90" i="27" s="1"/>
  <c r="E90" i="27"/>
  <c r="N89" i="27"/>
  <c r="O89" i="27" s="1"/>
  <c r="K89" i="27"/>
  <c r="L89" i="27" s="1"/>
  <c r="H89" i="27"/>
  <c r="I89" i="27" s="1"/>
  <c r="F89" i="27"/>
  <c r="E89" i="27"/>
  <c r="N88" i="27"/>
  <c r="O88" i="27" s="1"/>
  <c r="K88" i="27"/>
  <c r="L88" i="27" s="1"/>
  <c r="H88" i="27"/>
  <c r="F88" i="27"/>
  <c r="E88" i="27"/>
  <c r="N87" i="27"/>
  <c r="O87" i="27" s="1"/>
  <c r="L87" i="27"/>
  <c r="K87" i="27"/>
  <c r="H87" i="27"/>
  <c r="E87" i="27"/>
  <c r="N86" i="27"/>
  <c r="O86" i="27" s="1"/>
  <c r="K86" i="27"/>
  <c r="L86" i="27" s="1"/>
  <c r="H86" i="27"/>
  <c r="I86" i="27" s="1"/>
  <c r="E86" i="27"/>
  <c r="N85" i="27"/>
  <c r="O85" i="27" s="1"/>
  <c r="L85" i="27"/>
  <c r="K85" i="27"/>
  <c r="H85" i="27"/>
  <c r="I85" i="27" s="1"/>
  <c r="F85" i="27"/>
  <c r="E85" i="27"/>
  <c r="N84" i="27"/>
  <c r="O84" i="27" s="1"/>
  <c r="L84" i="27"/>
  <c r="K84" i="27"/>
  <c r="H84" i="27"/>
  <c r="F84" i="27"/>
  <c r="E84" i="27"/>
  <c r="O83" i="27"/>
  <c r="N83" i="27"/>
  <c r="K83" i="27"/>
  <c r="L83" i="27" s="1"/>
  <c r="H83" i="27"/>
  <c r="E83" i="27"/>
  <c r="N82" i="27"/>
  <c r="O82" i="27" s="1"/>
  <c r="L82" i="27"/>
  <c r="K82" i="27"/>
  <c r="H82" i="27"/>
  <c r="I82" i="27" s="1"/>
  <c r="E82" i="27"/>
  <c r="N81" i="27"/>
  <c r="O81" i="27" s="1"/>
  <c r="K81" i="27"/>
  <c r="L81" i="27" s="1"/>
  <c r="H81" i="27"/>
  <c r="I81" i="27" s="1"/>
  <c r="F81" i="27"/>
  <c r="E81" i="27"/>
  <c r="N80" i="27"/>
  <c r="O80" i="27" s="1"/>
  <c r="K80" i="27"/>
  <c r="L80" i="27" s="1"/>
  <c r="H80" i="27"/>
  <c r="F80" i="27"/>
  <c r="E80" i="27"/>
  <c r="N79" i="27"/>
  <c r="O79" i="27" s="1"/>
  <c r="L79" i="27"/>
  <c r="K79" i="27"/>
  <c r="H79" i="27"/>
  <c r="E79" i="27"/>
  <c r="N78" i="27"/>
  <c r="O78" i="27" s="1"/>
  <c r="K78" i="27"/>
  <c r="L78" i="27" s="1"/>
  <c r="H78" i="27"/>
  <c r="I78" i="27" s="1"/>
  <c r="E78" i="27"/>
  <c r="O77" i="27"/>
  <c r="N77" i="27"/>
  <c r="L77" i="27"/>
  <c r="K77" i="27"/>
  <c r="H77" i="27"/>
  <c r="I77" i="27" s="1"/>
  <c r="F77" i="27"/>
  <c r="E77" i="27"/>
  <c r="N76" i="27"/>
  <c r="O76" i="27" s="1"/>
  <c r="L76" i="27"/>
  <c r="K76" i="27"/>
  <c r="H76" i="27"/>
  <c r="F76" i="27"/>
  <c r="E76" i="27"/>
  <c r="N75" i="27"/>
  <c r="O75" i="27" s="1"/>
  <c r="K75" i="27"/>
  <c r="L75" i="27" s="1"/>
  <c r="H75" i="27"/>
  <c r="E75" i="27"/>
  <c r="N74" i="27"/>
  <c r="O74" i="27" s="1"/>
  <c r="L74" i="27"/>
  <c r="K74" i="27"/>
  <c r="H74" i="27"/>
  <c r="I74" i="27" s="1"/>
  <c r="E74" i="27"/>
  <c r="N73" i="27"/>
  <c r="O73" i="27" s="1"/>
  <c r="K73" i="27"/>
  <c r="L73" i="27" s="1"/>
  <c r="H73" i="27"/>
  <c r="I73" i="27" s="1"/>
  <c r="F73" i="27"/>
  <c r="E73" i="27"/>
  <c r="N72" i="27"/>
  <c r="O72" i="27" s="1"/>
  <c r="K72" i="27"/>
  <c r="L72" i="27" s="1"/>
  <c r="H72" i="27"/>
  <c r="F72" i="27"/>
  <c r="E72" i="27"/>
  <c r="N71" i="27"/>
  <c r="L71" i="27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I54" i="27" s="1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N60" i="27"/>
  <c r="O60" i="27" s="1"/>
  <c r="K60" i="27"/>
  <c r="L60" i="27" s="1"/>
  <c r="H60" i="27"/>
  <c r="E60" i="27"/>
  <c r="N59" i="27"/>
  <c r="O59" i="27" s="1"/>
  <c r="K59" i="27"/>
  <c r="L59" i="27" s="1"/>
  <c r="H59" i="27"/>
  <c r="E59" i="27"/>
  <c r="F59" i="27" s="1"/>
  <c r="N58" i="27"/>
  <c r="O58" i="27" s="1"/>
  <c r="K58" i="27"/>
  <c r="L58" i="27" s="1"/>
  <c r="H58" i="27"/>
  <c r="E58" i="27"/>
  <c r="N57" i="27"/>
  <c r="O57" i="27" s="1"/>
  <c r="K57" i="27"/>
  <c r="L57" i="27" s="1"/>
  <c r="I57" i="27"/>
  <c r="H57" i="27"/>
  <c r="E57" i="27"/>
  <c r="N56" i="27"/>
  <c r="O56" i="27" s="1"/>
  <c r="L56" i="27"/>
  <c r="K56" i="27"/>
  <c r="H56" i="27"/>
  <c r="E56" i="27"/>
  <c r="F56" i="27" s="1"/>
  <c r="N55" i="27"/>
  <c r="O55" i="27" s="1"/>
  <c r="K55" i="27"/>
  <c r="L55" i="27" s="1"/>
  <c r="H55" i="27"/>
  <c r="E55" i="27"/>
  <c r="N54" i="27"/>
  <c r="O54" i="27" s="1"/>
  <c r="L54" i="27"/>
  <c r="K54" i="27"/>
  <c r="H54" i="27"/>
  <c r="E54" i="27"/>
  <c r="F54" i="27" s="1"/>
  <c r="N53" i="27"/>
  <c r="O53" i="27" s="1"/>
  <c r="K53" i="27"/>
  <c r="L53" i="27" s="1"/>
  <c r="H53" i="27"/>
  <c r="E53" i="27"/>
  <c r="O52" i="27"/>
  <c r="N52" i="27"/>
  <c r="L52" i="27"/>
  <c r="K52" i="27"/>
  <c r="H52" i="27"/>
  <c r="I52" i="27" s="1"/>
  <c r="E52" i="27"/>
  <c r="N51" i="27"/>
  <c r="O51" i="27" s="1"/>
  <c r="K51" i="27"/>
  <c r="L51" i="27" s="1"/>
  <c r="H51" i="27"/>
  <c r="E51" i="27"/>
  <c r="N50" i="27"/>
  <c r="O50" i="27" s="1"/>
  <c r="L50" i="27"/>
  <c r="K50" i="27"/>
  <c r="I50" i="27"/>
  <c r="H50" i="27"/>
  <c r="E50" i="27"/>
  <c r="N49" i="27"/>
  <c r="O49" i="27" s="1"/>
  <c r="K49" i="27"/>
  <c r="L49" i="27" s="1"/>
  <c r="H49" i="27"/>
  <c r="E49" i="27"/>
  <c r="N48" i="27"/>
  <c r="O48" i="27" s="1"/>
  <c r="K48" i="27"/>
  <c r="L48" i="27" s="1"/>
  <c r="H48" i="27"/>
  <c r="E48" i="27"/>
  <c r="O47" i="27"/>
  <c r="N47" i="27"/>
  <c r="K47" i="27"/>
  <c r="L47" i="27" s="1"/>
  <c r="H47" i="27"/>
  <c r="I47" i="27" s="1"/>
  <c r="E47" i="27"/>
  <c r="N46" i="27"/>
  <c r="O46" i="27" s="1"/>
  <c r="K46" i="27"/>
  <c r="L46" i="27" s="1"/>
  <c r="H46" i="27"/>
  <c r="E46" i="27"/>
  <c r="N45" i="27"/>
  <c r="O45" i="27" s="1"/>
  <c r="K45" i="27"/>
  <c r="L45" i="27" s="1"/>
  <c r="H45" i="27"/>
  <c r="E45" i="27"/>
  <c r="F45" i="27" s="1"/>
  <c r="N44" i="27"/>
  <c r="K44" i="27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K21" i="27"/>
  <c r="J21" i="27"/>
  <c r="H21" i="27"/>
  <c r="G21" i="27"/>
  <c r="E21" i="27"/>
  <c r="D21" i="27"/>
  <c r="C21" i="27"/>
  <c r="B21" i="27"/>
  <c r="N20" i="27"/>
  <c r="M20" i="27"/>
  <c r="J20" i="27"/>
  <c r="H20" i="27"/>
  <c r="G20" i="27"/>
  <c r="E20" i="27"/>
  <c r="D20" i="27"/>
  <c r="C20" i="27"/>
  <c r="B20" i="27"/>
  <c r="M19" i="27"/>
  <c r="K19" i="27"/>
  <c r="J19" i="27"/>
  <c r="G19" i="27"/>
  <c r="E19" i="27"/>
  <c r="D19" i="27"/>
  <c r="C19" i="27"/>
  <c r="B19" i="27"/>
  <c r="N18" i="27"/>
  <c r="M18" i="27"/>
  <c r="K18" i="27"/>
  <c r="J18" i="27"/>
  <c r="H18" i="27"/>
  <c r="G18" i="27"/>
  <c r="E18" i="27"/>
  <c r="D18" i="27"/>
  <c r="C18" i="27"/>
  <c r="B18" i="27"/>
  <c r="N17" i="27"/>
  <c r="M17" i="27"/>
  <c r="K17" i="27"/>
  <c r="J17" i="27"/>
  <c r="I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H198" i="26"/>
  <c r="I198" i="26" s="1"/>
  <c r="F198" i="26"/>
  <c r="E198" i="26"/>
  <c r="N197" i="26"/>
  <c r="O197" i="26" s="1"/>
  <c r="K197" i="26"/>
  <c r="L197" i="26" s="1"/>
  <c r="H197" i="26"/>
  <c r="I197" i="26" s="1"/>
  <c r="F197" i="26"/>
  <c r="E197" i="26"/>
  <c r="N196" i="26"/>
  <c r="O196" i="26" s="1"/>
  <c r="K196" i="26"/>
  <c r="L196" i="26" s="1"/>
  <c r="H196" i="26"/>
  <c r="I196" i="26" s="1"/>
  <c r="F196" i="26"/>
  <c r="E196" i="26"/>
  <c r="N195" i="26"/>
  <c r="O195" i="26" s="1"/>
  <c r="K195" i="26"/>
  <c r="L195" i="26" s="1"/>
  <c r="H195" i="26"/>
  <c r="I195" i="26" s="1"/>
  <c r="F195" i="26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I193" i="26" s="1"/>
  <c r="F193" i="26"/>
  <c r="E193" i="26"/>
  <c r="O192" i="26"/>
  <c r="N192" i="26"/>
  <c r="K192" i="26"/>
  <c r="L192" i="26" s="1"/>
  <c r="H192" i="26"/>
  <c r="I192" i="26" s="1"/>
  <c r="F192" i="26"/>
  <c r="E192" i="26"/>
  <c r="N191" i="26"/>
  <c r="O191" i="26" s="1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O189" i="26" s="1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K187" i="26"/>
  <c r="L187" i="26" s="1"/>
  <c r="H187" i="26"/>
  <c r="I187" i="26" s="1"/>
  <c r="F187" i="26"/>
  <c r="E187" i="26"/>
  <c r="N186" i="26"/>
  <c r="O186" i="26" s="1"/>
  <c r="L186" i="26"/>
  <c r="K186" i="26"/>
  <c r="H186" i="26"/>
  <c r="I186" i="26" s="1"/>
  <c r="F186" i="26"/>
  <c r="E186" i="26"/>
  <c r="O185" i="26"/>
  <c r="N185" i="26"/>
  <c r="K185" i="26"/>
  <c r="L185" i="26" s="1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K183" i="26"/>
  <c r="L183" i="26" s="1"/>
  <c r="H183" i="26"/>
  <c r="I183" i="26" s="1"/>
  <c r="F183" i="26"/>
  <c r="E183" i="26"/>
  <c r="N182" i="26"/>
  <c r="O182" i="26" s="1"/>
  <c r="L182" i="26"/>
  <c r="K182" i="26"/>
  <c r="H182" i="26"/>
  <c r="I182" i="26" s="1"/>
  <c r="F182" i="26"/>
  <c r="E182" i="26"/>
  <c r="N181" i="26"/>
  <c r="O181" i="26" s="1"/>
  <c r="K181" i="26"/>
  <c r="L181" i="26" s="1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N170" i="26"/>
  <c r="O170" i="26" s="1"/>
  <c r="K170" i="26"/>
  <c r="L170" i="26" s="1"/>
  <c r="H170" i="26"/>
  <c r="I170" i="26" s="1"/>
  <c r="F170" i="26"/>
  <c r="E170" i="26"/>
  <c r="N169" i="26"/>
  <c r="O169" i="26" s="1"/>
  <c r="K169" i="26"/>
  <c r="L169" i="26" s="1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O167" i="26"/>
  <c r="N167" i="26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N165" i="26"/>
  <c r="O165" i="26" s="1"/>
  <c r="K165" i="26"/>
  <c r="L165" i="26" s="1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N161" i="26"/>
  <c r="O161" i="26" s="1"/>
  <c r="K161" i="26"/>
  <c r="L161" i="26" s="1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N159" i="26"/>
  <c r="O159" i="26" s="1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N157" i="26"/>
  <c r="O157" i="26" s="1"/>
  <c r="K157" i="26"/>
  <c r="L157" i="26" s="1"/>
  <c r="H157" i="26"/>
  <c r="I157" i="26" s="1"/>
  <c r="F157" i="26"/>
  <c r="E157" i="26"/>
  <c r="N156" i="26"/>
  <c r="O156" i="26" s="1"/>
  <c r="O21" i="26" s="1"/>
  <c r="K156" i="26"/>
  <c r="L156" i="26" s="1"/>
  <c r="L21" i="26" s="1"/>
  <c r="H156" i="26"/>
  <c r="I156" i="26" s="1"/>
  <c r="I21" i="26" s="1"/>
  <c r="F156" i="26"/>
  <c r="F21" i="26" s="1"/>
  <c r="E156" i="26"/>
  <c r="N155" i="26"/>
  <c r="O155" i="26" s="1"/>
  <c r="O20" i="26" s="1"/>
  <c r="L155" i="26"/>
  <c r="K155" i="26"/>
  <c r="H155" i="26"/>
  <c r="I155" i="26" s="1"/>
  <c r="I20" i="26" s="1"/>
  <c r="F155" i="26"/>
  <c r="E155" i="26"/>
  <c r="N154" i="26"/>
  <c r="O154" i="26" s="1"/>
  <c r="O19" i="26" s="1"/>
  <c r="K154" i="26"/>
  <c r="K19" i="26" s="1"/>
  <c r="H154" i="26"/>
  <c r="I154" i="26" s="1"/>
  <c r="I19" i="26" s="1"/>
  <c r="F154" i="26"/>
  <c r="F19" i="26" s="1"/>
  <c r="E154" i="26"/>
  <c r="N153" i="26"/>
  <c r="O153" i="26" s="1"/>
  <c r="O18" i="26" s="1"/>
  <c r="L153" i="26"/>
  <c r="K153" i="26"/>
  <c r="H153" i="26"/>
  <c r="I153" i="26" s="1"/>
  <c r="I18" i="26" s="1"/>
  <c r="F153" i="26"/>
  <c r="E153" i="26"/>
  <c r="N152" i="26"/>
  <c r="N172" i="26" s="1"/>
  <c r="K152" i="26"/>
  <c r="H152" i="26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H142" i="26"/>
  <c r="I142" i="26" s="1"/>
  <c r="F142" i="26"/>
  <c r="E142" i="26"/>
  <c r="O141" i="26"/>
  <c r="N141" i="26"/>
  <c r="K141" i="26"/>
  <c r="L141" i="26" s="1"/>
  <c r="H141" i="26"/>
  <c r="I141" i="26" s="1"/>
  <c r="F141" i="26"/>
  <c r="E141" i="26"/>
  <c r="N140" i="26"/>
  <c r="O140" i="26" s="1"/>
  <c r="K140" i="26"/>
  <c r="L140" i="26" s="1"/>
  <c r="H140" i="26"/>
  <c r="I140" i="26" s="1"/>
  <c r="F140" i="26"/>
  <c r="E140" i="26"/>
  <c r="N139" i="26"/>
  <c r="O139" i="26" s="1"/>
  <c r="K139" i="26"/>
  <c r="L139" i="26" s="1"/>
  <c r="I139" i="26"/>
  <c r="H139" i="26"/>
  <c r="F139" i="26"/>
  <c r="E139" i="26"/>
  <c r="N138" i="26"/>
  <c r="O138" i="26" s="1"/>
  <c r="K138" i="26"/>
  <c r="L138" i="26" s="1"/>
  <c r="I138" i="26"/>
  <c r="H138" i="26"/>
  <c r="F138" i="26"/>
  <c r="E138" i="26"/>
  <c r="N137" i="26"/>
  <c r="O137" i="26" s="1"/>
  <c r="K137" i="26"/>
  <c r="L137" i="26" s="1"/>
  <c r="H137" i="26"/>
  <c r="I137" i="26" s="1"/>
  <c r="F137" i="26"/>
  <c r="E137" i="26"/>
  <c r="O136" i="26"/>
  <c r="N136" i="26"/>
  <c r="K136" i="26"/>
  <c r="L136" i="26" s="1"/>
  <c r="H136" i="26"/>
  <c r="I136" i="26" s="1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O133" i="26"/>
  <c r="N133" i="26"/>
  <c r="K133" i="26"/>
  <c r="L133" i="26" s="1"/>
  <c r="H133" i="26"/>
  <c r="I133" i="26" s="1"/>
  <c r="F133" i="26"/>
  <c r="E133" i="26"/>
  <c r="N132" i="26"/>
  <c r="O132" i="26" s="1"/>
  <c r="K132" i="26"/>
  <c r="L132" i="26" s="1"/>
  <c r="H132" i="26"/>
  <c r="I132" i="26" s="1"/>
  <c r="F132" i="26"/>
  <c r="E132" i="26"/>
  <c r="N131" i="26"/>
  <c r="O131" i="26" s="1"/>
  <c r="K131" i="26"/>
  <c r="L131" i="26" s="1"/>
  <c r="I131" i="26"/>
  <c r="H131" i="26"/>
  <c r="F131" i="26"/>
  <c r="E131" i="26"/>
  <c r="N130" i="26"/>
  <c r="O130" i="26" s="1"/>
  <c r="K130" i="26"/>
  <c r="L130" i="26" s="1"/>
  <c r="I130" i="26"/>
  <c r="H130" i="26"/>
  <c r="F130" i="26"/>
  <c r="E130" i="26"/>
  <c r="N129" i="26"/>
  <c r="O129" i="26" s="1"/>
  <c r="K129" i="26"/>
  <c r="L129" i="26" s="1"/>
  <c r="H129" i="26"/>
  <c r="I129" i="26" s="1"/>
  <c r="F129" i="26"/>
  <c r="E129" i="26"/>
  <c r="O128" i="26"/>
  <c r="N128" i="26"/>
  <c r="K128" i="26"/>
  <c r="L128" i="26" s="1"/>
  <c r="H128" i="26"/>
  <c r="I128" i="26" s="1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O125" i="26"/>
  <c r="N125" i="26"/>
  <c r="K125" i="26"/>
  <c r="K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N116" i="26"/>
  <c r="O116" i="26" s="1"/>
  <c r="L116" i="26"/>
  <c r="K116" i="26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N114" i="26"/>
  <c r="O114" i="26" s="1"/>
  <c r="L114" i="26"/>
  <c r="K114" i="26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L112" i="26"/>
  <c r="K112" i="26"/>
  <c r="H112" i="26"/>
  <c r="I112" i="26" s="1"/>
  <c r="F112" i="26"/>
  <c r="E112" i="26"/>
  <c r="N111" i="26"/>
  <c r="O111" i="26" s="1"/>
  <c r="K111" i="26"/>
  <c r="L111" i="26" s="1"/>
  <c r="H111" i="26"/>
  <c r="I111" i="26" s="1"/>
  <c r="F111" i="26"/>
  <c r="E111" i="26"/>
  <c r="N110" i="26"/>
  <c r="O110" i="26" s="1"/>
  <c r="L110" i="26"/>
  <c r="K110" i="26"/>
  <c r="H110" i="26"/>
  <c r="I110" i="26" s="1"/>
  <c r="F110" i="26"/>
  <c r="E110" i="26"/>
  <c r="N109" i="26"/>
  <c r="O109" i="26" s="1"/>
  <c r="K109" i="26"/>
  <c r="L109" i="26" s="1"/>
  <c r="H109" i="26"/>
  <c r="I109" i="26" s="1"/>
  <c r="F109" i="26"/>
  <c r="E109" i="26"/>
  <c r="N108" i="26"/>
  <c r="O108" i="26" s="1"/>
  <c r="L108" i="26"/>
  <c r="K108" i="26"/>
  <c r="H108" i="26"/>
  <c r="I108" i="26" s="1"/>
  <c r="F108" i="26"/>
  <c r="E108" i="26"/>
  <c r="N107" i="26"/>
  <c r="O107" i="26" s="1"/>
  <c r="K107" i="26"/>
  <c r="L107" i="26" s="1"/>
  <c r="H107" i="26"/>
  <c r="I107" i="26" s="1"/>
  <c r="F107" i="26"/>
  <c r="E107" i="26"/>
  <c r="N106" i="26"/>
  <c r="O106" i="26" s="1"/>
  <c r="L106" i="26"/>
  <c r="K106" i="26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L104" i="26"/>
  <c r="K104" i="26"/>
  <c r="H104" i="26"/>
  <c r="I104" i="26" s="1"/>
  <c r="F104" i="26"/>
  <c r="E104" i="26"/>
  <c r="N103" i="26"/>
  <c r="O103" i="26" s="1"/>
  <c r="K103" i="26"/>
  <c r="L103" i="26" s="1"/>
  <c r="H103" i="26"/>
  <c r="I103" i="26" s="1"/>
  <c r="F103" i="26"/>
  <c r="E103" i="26"/>
  <c r="N102" i="26"/>
  <c r="O102" i="26" s="1"/>
  <c r="L102" i="26"/>
  <c r="K102" i="26"/>
  <c r="H102" i="26"/>
  <c r="I102" i="26" s="1"/>
  <c r="F102" i="26"/>
  <c r="E102" i="26"/>
  <c r="N101" i="26"/>
  <c r="O101" i="26" s="1"/>
  <c r="K101" i="26"/>
  <c r="L101" i="26" s="1"/>
  <c r="H101" i="26"/>
  <c r="I101" i="26" s="1"/>
  <c r="F101" i="26"/>
  <c r="E101" i="26"/>
  <c r="N100" i="26"/>
  <c r="O100" i="26" s="1"/>
  <c r="L100" i="26"/>
  <c r="K100" i="26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N98" i="26"/>
  <c r="O98" i="26" s="1"/>
  <c r="L98" i="26"/>
  <c r="K98" i="26"/>
  <c r="H98" i="26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K90" i="26"/>
  <c r="L90" i="26" s="1"/>
  <c r="H90" i="26"/>
  <c r="I90" i="26" s="1"/>
  <c r="F90" i="26"/>
  <c r="E90" i="26"/>
  <c r="N89" i="26"/>
  <c r="O89" i="26" s="1"/>
  <c r="L89" i="26"/>
  <c r="K89" i="26"/>
  <c r="H89" i="26"/>
  <c r="I89" i="26" s="1"/>
  <c r="F89" i="26"/>
  <c r="E89" i="26"/>
  <c r="O88" i="26"/>
  <c r="N88" i="26"/>
  <c r="K88" i="26"/>
  <c r="L88" i="26" s="1"/>
  <c r="H88" i="26"/>
  <c r="I88" i="26" s="1"/>
  <c r="F88" i="26"/>
  <c r="E88" i="26"/>
  <c r="N87" i="26"/>
  <c r="O87" i="26" s="1"/>
  <c r="L87" i="26"/>
  <c r="K87" i="26"/>
  <c r="H87" i="26"/>
  <c r="I87" i="26" s="1"/>
  <c r="F87" i="26"/>
  <c r="E87" i="26"/>
  <c r="N86" i="26"/>
  <c r="O86" i="26" s="1"/>
  <c r="K86" i="26"/>
  <c r="L86" i="26" s="1"/>
  <c r="H86" i="26"/>
  <c r="I86" i="26" s="1"/>
  <c r="F86" i="26"/>
  <c r="E86" i="26"/>
  <c r="N85" i="26"/>
  <c r="O85" i="26" s="1"/>
  <c r="L85" i="26"/>
  <c r="K85" i="26"/>
  <c r="H85" i="26"/>
  <c r="I85" i="26" s="1"/>
  <c r="F85" i="26"/>
  <c r="E85" i="26"/>
  <c r="N84" i="26"/>
  <c r="O84" i="26" s="1"/>
  <c r="K84" i="26"/>
  <c r="L84" i="26" s="1"/>
  <c r="H84" i="26"/>
  <c r="I84" i="26" s="1"/>
  <c r="F84" i="26"/>
  <c r="E84" i="26"/>
  <c r="N83" i="26"/>
  <c r="O83" i="26" s="1"/>
  <c r="L83" i="26"/>
  <c r="K83" i="26"/>
  <c r="H83" i="26"/>
  <c r="I83" i="26" s="1"/>
  <c r="F83" i="26"/>
  <c r="E83" i="26"/>
  <c r="O82" i="26"/>
  <c r="N82" i="26"/>
  <c r="K82" i="26"/>
  <c r="L82" i="26" s="1"/>
  <c r="H82" i="26"/>
  <c r="I82" i="26" s="1"/>
  <c r="F82" i="26"/>
  <c r="E82" i="26"/>
  <c r="N81" i="26"/>
  <c r="O81" i="26" s="1"/>
  <c r="L81" i="26"/>
  <c r="K81" i="26"/>
  <c r="H81" i="26"/>
  <c r="I81" i="26" s="1"/>
  <c r="F81" i="26"/>
  <c r="E81" i="26"/>
  <c r="O80" i="26"/>
  <c r="N80" i="26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N78" i="26"/>
  <c r="O78" i="26" s="1"/>
  <c r="K78" i="26"/>
  <c r="L78" i="26" s="1"/>
  <c r="H78" i="26"/>
  <c r="I78" i="26" s="1"/>
  <c r="F78" i="26"/>
  <c r="E78" i="26"/>
  <c r="N77" i="26"/>
  <c r="O77" i="26" s="1"/>
  <c r="L77" i="26"/>
  <c r="K77" i="26"/>
  <c r="H77" i="26"/>
  <c r="I77" i="26" s="1"/>
  <c r="F77" i="26"/>
  <c r="E77" i="26"/>
  <c r="N76" i="26"/>
  <c r="O76" i="26" s="1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O72" i="26"/>
  <c r="N72" i="26"/>
  <c r="K72" i="26"/>
  <c r="L72" i="26" s="1"/>
  <c r="H72" i="26"/>
  <c r="I72" i="26" s="1"/>
  <c r="F72" i="26"/>
  <c r="E72" i="26"/>
  <c r="N71" i="26"/>
  <c r="N91" i="26" s="1"/>
  <c r="L71" i="26"/>
  <c r="K71" i="26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N61" i="26"/>
  <c r="O61" i="26" s="1"/>
  <c r="K61" i="26"/>
  <c r="L61" i="26" s="1"/>
  <c r="H61" i="26"/>
  <c r="I61" i="26" s="1"/>
  <c r="E61" i="26"/>
  <c r="F61" i="26" s="1"/>
  <c r="N60" i="26"/>
  <c r="O60" i="26" s="1"/>
  <c r="L60" i="26"/>
  <c r="K60" i="26"/>
  <c r="H60" i="26"/>
  <c r="I60" i="26" s="1"/>
  <c r="E60" i="26"/>
  <c r="F60" i="26" s="1"/>
  <c r="N59" i="26"/>
  <c r="O59" i="26" s="1"/>
  <c r="L59" i="26"/>
  <c r="K59" i="26"/>
  <c r="H59" i="26"/>
  <c r="I59" i="26" s="1"/>
  <c r="E59" i="26"/>
  <c r="F59" i="26" s="1"/>
  <c r="N58" i="26"/>
  <c r="O58" i="26" s="1"/>
  <c r="K58" i="26"/>
  <c r="L58" i="26" s="1"/>
  <c r="H58" i="26"/>
  <c r="I58" i="26" s="1"/>
  <c r="E58" i="26"/>
  <c r="F58" i="26" s="1"/>
  <c r="O57" i="26"/>
  <c r="N57" i="26"/>
  <c r="K57" i="26"/>
  <c r="L57" i="26" s="1"/>
  <c r="H57" i="26"/>
  <c r="I57" i="26" s="1"/>
  <c r="E57" i="26"/>
  <c r="F57" i="26" s="1"/>
  <c r="O56" i="26"/>
  <c r="N56" i="26"/>
  <c r="L56" i="26"/>
  <c r="K56" i="26"/>
  <c r="H56" i="26"/>
  <c r="I56" i="26" s="1"/>
  <c r="E56" i="26"/>
  <c r="F56" i="26" s="1"/>
  <c r="N55" i="26"/>
  <c r="O55" i="26" s="1"/>
  <c r="L55" i="26"/>
  <c r="K55" i="26"/>
  <c r="H55" i="26"/>
  <c r="I55" i="26" s="1"/>
  <c r="E55" i="26"/>
  <c r="F55" i="26" s="1"/>
  <c r="O54" i="26"/>
  <c r="N54" i="26"/>
  <c r="K54" i="26"/>
  <c r="L54" i="26" s="1"/>
  <c r="H54" i="26"/>
  <c r="I54" i="26" s="1"/>
  <c r="E54" i="26"/>
  <c r="F54" i="26" s="1"/>
  <c r="N53" i="26"/>
  <c r="O53" i="26" s="1"/>
  <c r="K53" i="26"/>
  <c r="L53" i="26" s="1"/>
  <c r="H53" i="26"/>
  <c r="I53" i="26" s="1"/>
  <c r="E53" i="26"/>
  <c r="F53" i="26" s="1"/>
  <c r="N52" i="26"/>
  <c r="O52" i="26" s="1"/>
  <c r="L52" i="26"/>
  <c r="K52" i="26"/>
  <c r="H52" i="26"/>
  <c r="I52" i="26" s="1"/>
  <c r="E52" i="26"/>
  <c r="F52" i="26" s="1"/>
  <c r="N51" i="26"/>
  <c r="O51" i="26" s="1"/>
  <c r="L51" i="26"/>
  <c r="K51" i="26"/>
  <c r="H51" i="26"/>
  <c r="I51" i="26" s="1"/>
  <c r="E51" i="26"/>
  <c r="F51" i="26" s="1"/>
  <c r="N50" i="26"/>
  <c r="O50" i="26" s="1"/>
  <c r="K50" i="26"/>
  <c r="L50" i="26" s="1"/>
  <c r="H50" i="26"/>
  <c r="I50" i="26" s="1"/>
  <c r="E50" i="26"/>
  <c r="F50" i="26" s="1"/>
  <c r="O49" i="26"/>
  <c r="N49" i="26"/>
  <c r="K49" i="26"/>
  <c r="L49" i="26" s="1"/>
  <c r="H49" i="26"/>
  <c r="I49" i="26" s="1"/>
  <c r="E49" i="26"/>
  <c r="F49" i="26" s="1"/>
  <c r="O48" i="26"/>
  <c r="N48" i="26"/>
  <c r="L48" i="26"/>
  <c r="K48" i="26"/>
  <c r="H48" i="26"/>
  <c r="I48" i="26" s="1"/>
  <c r="E48" i="26"/>
  <c r="F48" i="26" s="1"/>
  <c r="N47" i="26"/>
  <c r="O47" i="26" s="1"/>
  <c r="L47" i="26"/>
  <c r="K47" i="26"/>
  <c r="H47" i="26"/>
  <c r="I47" i="26" s="1"/>
  <c r="E47" i="26"/>
  <c r="F47" i="26" s="1"/>
  <c r="O46" i="26"/>
  <c r="N46" i="26"/>
  <c r="K46" i="26"/>
  <c r="L46" i="26" s="1"/>
  <c r="H46" i="26"/>
  <c r="I46" i="26" s="1"/>
  <c r="E46" i="26"/>
  <c r="F46" i="26" s="1"/>
  <c r="N45" i="26"/>
  <c r="O45" i="26" s="1"/>
  <c r="K45" i="26"/>
  <c r="L45" i="26" s="1"/>
  <c r="H45" i="26"/>
  <c r="I45" i="26" s="1"/>
  <c r="E45" i="26"/>
  <c r="F45" i="26" s="1"/>
  <c r="N44" i="26"/>
  <c r="L44" i="26"/>
  <c r="K44" i="26"/>
  <c r="H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N21" i="26"/>
  <c r="M21" i="26"/>
  <c r="K21" i="26"/>
  <c r="J21" i="26"/>
  <c r="G21" i="26"/>
  <c r="E21" i="26"/>
  <c r="D21" i="26"/>
  <c r="C21" i="26"/>
  <c r="B21" i="26"/>
  <c r="M20" i="26"/>
  <c r="L20" i="26"/>
  <c r="K20" i="26"/>
  <c r="J20" i="26"/>
  <c r="H20" i="26"/>
  <c r="G20" i="26"/>
  <c r="F20" i="26"/>
  <c r="E20" i="26"/>
  <c r="D20" i="26"/>
  <c r="C20" i="26"/>
  <c r="B20" i="26"/>
  <c r="M19" i="26"/>
  <c r="J19" i="26"/>
  <c r="H19" i="26"/>
  <c r="G19" i="26"/>
  <c r="E19" i="26"/>
  <c r="D19" i="26"/>
  <c r="C19" i="26"/>
  <c r="B19" i="26"/>
  <c r="N18" i="26"/>
  <c r="M18" i="26"/>
  <c r="L18" i="26"/>
  <c r="K18" i="26"/>
  <c r="J18" i="26"/>
  <c r="G18" i="26"/>
  <c r="F18" i="26"/>
  <c r="E18" i="26"/>
  <c r="D18" i="26"/>
  <c r="C18" i="26"/>
  <c r="B18" i="26"/>
  <c r="M17" i="26"/>
  <c r="K17" i="26"/>
  <c r="J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E198" i="25"/>
  <c r="F198" i="25" s="1"/>
  <c r="N197" i="25"/>
  <c r="O197" i="25" s="1"/>
  <c r="K197" i="25"/>
  <c r="L197" i="25" s="1"/>
  <c r="H197" i="25"/>
  <c r="I197" i="25" s="1"/>
  <c r="E197" i="25"/>
  <c r="F197" i="25" s="1"/>
  <c r="O196" i="25"/>
  <c r="N196" i="25"/>
  <c r="K196" i="25"/>
  <c r="L196" i="25" s="1"/>
  <c r="I196" i="25"/>
  <c r="H196" i="25"/>
  <c r="E196" i="25"/>
  <c r="F196" i="25" s="1"/>
  <c r="N195" i="25"/>
  <c r="O195" i="25" s="1"/>
  <c r="K195" i="25"/>
  <c r="L195" i="25" s="1"/>
  <c r="H195" i="25"/>
  <c r="I195" i="25" s="1"/>
  <c r="E195" i="25"/>
  <c r="F195" i="25" s="1"/>
  <c r="O194" i="25"/>
  <c r="N194" i="25"/>
  <c r="K194" i="25"/>
  <c r="L194" i="25" s="1"/>
  <c r="H194" i="25"/>
  <c r="I194" i="25" s="1"/>
  <c r="E194" i="25"/>
  <c r="F194" i="25" s="1"/>
  <c r="N193" i="25"/>
  <c r="O193" i="25" s="1"/>
  <c r="K193" i="25"/>
  <c r="L193" i="25" s="1"/>
  <c r="H193" i="25"/>
  <c r="I193" i="25" s="1"/>
  <c r="E193" i="25"/>
  <c r="F193" i="25" s="1"/>
  <c r="N192" i="25"/>
  <c r="O192" i="25" s="1"/>
  <c r="K192" i="25"/>
  <c r="L192" i="25" s="1"/>
  <c r="H192" i="25"/>
  <c r="I192" i="25" s="1"/>
  <c r="E192" i="25"/>
  <c r="F192" i="25" s="1"/>
  <c r="N191" i="25"/>
  <c r="O191" i="25" s="1"/>
  <c r="K191" i="25"/>
  <c r="L191" i="25" s="1"/>
  <c r="H191" i="25"/>
  <c r="I191" i="25" s="1"/>
  <c r="E191" i="25"/>
  <c r="F191" i="25" s="1"/>
  <c r="O190" i="25"/>
  <c r="N190" i="25"/>
  <c r="K190" i="25"/>
  <c r="L190" i="25" s="1"/>
  <c r="H190" i="25"/>
  <c r="I190" i="25" s="1"/>
  <c r="E190" i="25"/>
  <c r="F190" i="25" s="1"/>
  <c r="N189" i="25"/>
  <c r="O189" i="25" s="1"/>
  <c r="K189" i="25"/>
  <c r="L189" i="25" s="1"/>
  <c r="H189" i="25"/>
  <c r="I189" i="25" s="1"/>
  <c r="E189" i="25"/>
  <c r="F189" i="25" s="1"/>
  <c r="N188" i="25"/>
  <c r="O188" i="25" s="1"/>
  <c r="L188" i="25"/>
  <c r="K188" i="25"/>
  <c r="I188" i="25"/>
  <c r="H188" i="25"/>
  <c r="E188" i="25"/>
  <c r="F188" i="25" s="1"/>
  <c r="O187" i="25"/>
  <c r="N187" i="25"/>
  <c r="K187" i="25"/>
  <c r="L187" i="25" s="1"/>
  <c r="H187" i="25"/>
  <c r="I187" i="25" s="1"/>
  <c r="E187" i="25"/>
  <c r="F187" i="25" s="1"/>
  <c r="N186" i="25"/>
  <c r="O186" i="25" s="1"/>
  <c r="K186" i="25"/>
  <c r="L186" i="25" s="1"/>
  <c r="H186" i="25"/>
  <c r="I186" i="25" s="1"/>
  <c r="E186" i="25"/>
  <c r="F186" i="25" s="1"/>
  <c r="N185" i="25"/>
  <c r="O185" i="25" s="1"/>
  <c r="K185" i="25"/>
  <c r="L185" i="25" s="1"/>
  <c r="H185" i="25"/>
  <c r="I185" i="25" s="1"/>
  <c r="E185" i="25"/>
  <c r="F185" i="25" s="1"/>
  <c r="N184" i="25"/>
  <c r="O184" i="25" s="1"/>
  <c r="K184" i="25"/>
  <c r="L184" i="25" s="1"/>
  <c r="H184" i="25"/>
  <c r="I184" i="25" s="1"/>
  <c r="E184" i="25"/>
  <c r="F184" i="25" s="1"/>
  <c r="O183" i="25"/>
  <c r="N183" i="25"/>
  <c r="K183" i="25"/>
  <c r="L183" i="25" s="1"/>
  <c r="H183" i="25"/>
  <c r="I183" i="25" s="1"/>
  <c r="E183" i="25"/>
  <c r="F183" i="25" s="1"/>
  <c r="N182" i="25"/>
  <c r="O182" i="25" s="1"/>
  <c r="K182" i="25"/>
  <c r="L182" i="25" s="1"/>
  <c r="H182" i="25"/>
  <c r="I182" i="25" s="1"/>
  <c r="E182" i="25"/>
  <c r="F182" i="25" s="1"/>
  <c r="N181" i="25"/>
  <c r="O181" i="25" s="1"/>
  <c r="L181" i="25"/>
  <c r="K181" i="25"/>
  <c r="H181" i="25"/>
  <c r="I181" i="25" s="1"/>
  <c r="E181" i="25"/>
  <c r="F181" i="25" s="1"/>
  <c r="O180" i="25"/>
  <c r="N180" i="25"/>
  <c r="K180" i="25"/>
  <c r="L180" i="25" s="1"/>
  <c r="I180" i="25"/>
  <c r="H180" i="25"/>
  <c r="E180" i="25"/>
  <c r="F180" i="25" s="1"/>
  <c r="N179" i="25"/>
  <c r="K179" i="25"/>
  <c r="L179" i="25" s="1"/>
  <c r="H179" i="25"/>
  <c r="E179" i="25"/>
  <c r="M177" i="25"/>
  <c r="J177" i="25"/>
  <c r="G177" i="25"/>
  <c r="D177" i="25"/>
  <c r="B177" i="25"/>
  <c r="M176" i="25"/>
  <c r="G176" i="25"/>
  <c r="B172" i="25"/>
  <c r="O171" i="25"/>
  <c r="O21" i="25" s="1"/>
  <c r="N171" i="25"/>
  <c r="K171" i="25"/>
  <c r="L171" i="25" s="1"/>
  <c r="L21" i="25" s="1"/>
  <c r="I171" i="25"/>
  <c r="I21" i="25" s="1"/>
  <c r="H171" i="25"/>
  <c r="E171" i="25"/>
  <c r="F171" i="25" s="1"/>
  <c r="F21" i="25" s="1"/>
  <c r="N170" i="25"/>
  <c r="O170" i="25" s="1"/>
  <c r="O20" i="25" s="1"/>
  <c r="K170" i="25"/>
  <c r="L170" i="25" s="1"/>
  <c r="L20" i="25" s="1"/>
  <c r="H170" i="25"/>
  <c r="I170" i="25" s="1"/>
  <c r="I20" i="25" s="1"/>
  <c r="E170" i="25"/>
  <c r="F170" i="25" s="1"/>
  <c r="F20" i="25" s="1"/>
  <c r="N169" i="25"/>
  <c r="O169" i="25" s="1"/>
  <c r="O19" i="25" s="1"/>
  <c r="K169" i="25"/>
  <c r="L169" i="25" s="1"/>
  <c r="L19" i="25" s="1"/>
  <c r="H169" i="25"/>
  <c r="I169" i="25" s="1"/>
  <c r="I19" i="25" s="1"/>
  <c r="E169" i="25"/>
  <c r="F169" i="25" s="1"/>
  <c r="F19" i="25" s="1"/>
  <c r="O168" i="25"/>
  <c r="O18" i="25" s="1"/>
  <c r="N168" i="25"/>
  <c r="K168" i="25"/>
  <c r="L168" i="25" s="1"/>
  <c r="L18" i="25" s="1"/>
  <c r="H168" i="25"/>
  <c r="I168" i="25" s="1"/>
  <c r="I18" i="25" s="1"/>
  <c r="E168" i="25"/>
  <c r="F168" i="25" s="1"/>
  <c r="F18" i="25" s="1"/>
  <c r="N167" i="25"/>
  <c r="O167" i="25" s="1"/>
  <c r="O17" i="25" s="1"/>
  <c r="K167" i="25"/>
  <c r="L167" i="25" s="1"/>
  <c r="L17" i="25" s="1"/>
  <c r="I167" i="25"/>
  <c r="I17" i="25" s="1"/>
  <c r="H167" i="25"/>
  <c r="E167" i="25"/>
  <c r="F167" i="25" s="1"/>
  <c r="F17" i="25" s="1"/>
  <c r="N166" i="25"/>
  <c r="O166" i="25" s="1"/>
  <c r="K166" i="25"/>
  <c r="L166" i="25" s="1"/>
  <c r="H166" i="25"/>
  <c r="I166" i="25" s="1"/>
  <c r="E166" i="25"/>
  <c r="F166" i="25" s="1"/>
  <c r="O165" i="25"/>
  <c r="N165" i="25"/>
  <c r="L165" i="25"/>
  <c r="K165" i="25"/>
  <c r="H165" i="25"/>
  <c r="I165" i="25" s="1"/>
  <c r="E165" i="25"/>
  <c r="F165" i="25" s="1"/>
  <c r="N164" i="25"/>
  <c r="O164" i="25" s="1"/>
  <c r="K164" i="25"/>
  <c r="L164" i="25" s="1"/>
  <c r="H164" i="25"/>
  <c r="I164" i="25" s="1"/>
  <c r="E164" i="25"/>
  <c r="F164" i="25" s="1"/>
  <c r="N163" i="25"/>
  <c r="O163" i="25" s="1"/>
  <c r="K163" i="25"/>
  <c r="L163" i="25" s="1"/>
  <c r="I163" i="25"/>
  <c r="H163" i="25"/>
  <c r="E163" i="25"/>
  <c r="F163" i="25" s="1"/>
  <c r="N162" i="25"/>
  <c r="O162" i="25" s="1"/>
  <c r="K162" i="25"/>
  <c r="L162" i="25" s="1"/>
  <c r="H162" i="25"/>
  <c r="I162" i="25" s="1"/>
  <c r="E162" i="25"/>
  <c r="F162" i="25" s="1"/>
  <c r="N161" i="25"/>
  <c r="O161" i="25" s="1"/>
  <c r="K161" i="25"/>
  <c r="L161" i="25" s="1"/>
  <c r="H161" i="25"/>
  <c r="I161" i="25" s="1"/>
  <c r="E161" i="25"/>
  <c r="F161" i="25" s="1"/>
  <c r="N160" i="25"/>
  <c r="O160" i="25" s="1"/>
  <c r="K160" i="25"/>
  <c r="L160" i="25" s="1"/>
  <c r="H160" i="25"/>
  <c r="I160" i="25" s="1"/>
  <c r="E160" i="25"/>
  <c r="F160" i="25" s="1"/>
  <c r="N159" i="25"/>
  <c r="O159" i="25" s="1"/>
  <c r="K159" i="25"/>
  <c r="L159" i="25" s="1"/>
  <c r="I159" i="25"/>
  <c r="H159" i="25"/>
  <c r="E159" i="25"/>
  <c r="F159" i="25" s="1"/>
  <c r="N158" i="25"/>
  <c r="O158" i="25" s="1"/>
  <c r="K158" i="25"/>
  <c r="L158" i="25" s="1"/>
  <c r="H158" i="25"/>
  <c r="I158" i="25" s="1"/>
  <c r="E158" i="25"/>
  <c r="F158" i="25" s="1"/>
  <c r="N157" i="25"/>
  <c r="O157" i="25" s="1"/>
  <c r="K157" i="25"/>
  <c r="L157" i="25" s="1"/>
  <c r="H157" i="25"/>
  <c r="I157" i="25" s="1"/>
  <c r="E157" i="25"/>
  <c r="F157" i="25" s="1"/>
  <c r="O156" i="25"/>
  <c r="N156" i="25"/>
  <c r="L156" i="25"/>
  <c r="K156" i="25"/>
  <c r="H156" i="25"/>
  <c r="I156" i="25" s="1"/>
  <c r="E156" i="25"/>
  <c r="F156" i="25" s="1"/>
  <c r="N155" i="25"/>
  <c r="O155" i="25" s="1"/>
  <c r="K155" i="25"/>
  <c r="L155" i="25" s="1"/>
  <c r="I155" i="25"/>
  <c r="H155" i="25"/>
  <c r="E155" i="25"/>
  <c r="F155" i="25" s="1"/>
  <c r="O154" i="25"/>
  <c r="N154" i="25"/>
  <c r="K154" i="25"/>
  <c r="L154" i="25" s="1"/>
  <c r="H154" i="25"/>
  <c r="I154" i="25" s="1"/>
  <c r="E154" i="25"/>
  <c r="F154" i="25" s="1"/>
  <c r="N153" i="25"/>
  <c r="O153" i="25" s="1"/>
  <c r="K153" i="25"/>
  <c r="L153" i="25" s="1"/>
  <c r="H153" i="25"/>
  <c r="I153" i="25" s="1"/>
  <c r="E153" i="25"/>
  <c r="F153" i="25" s="1"/>
  <c r="N152" i="25"/>
  <c r="O152" i="25" s="1"/>
  <c r="K152" i="25"/>
  <c r="H152" i="25"/>
  <c r="I152" i="25" s="1"/>
  <c r="E152" i="25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N143" i="25"/>
  <c r="O143" i="25" s="1"/>
  <c r="L143" i="25"/>
  <c r="K143" i="25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N140" i="25"/>
  <c r="O140" i="25" s="1"/>
  <c r="K140" i="25"/>
  <c r="L140" i="25" s="1"/>
  <c r="H140" i="25"/>
  <c r="I140" i="25" s="1"/>
  <c r="F140" i="25"/>
  <c r="E140" i="25"/>
  <c r="N139" i="25"/>
  <c r="O139" i="25" s="1"/>
  <c r="L139" i="25"/>
  <c r="K139" i="25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K137" i="25"/>
  <c r="L137" i="25" s="1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L135" i="25"/>
  <c r="K135" i="25"/>
  <c r="H135" i="25"/>
  <c r="I135" i="25" s="1"/>
  <c r="F135" i="25"/>
  <c r="E135" i="25"/>
  <c r="N134" i="25"/>
  <c r="O134" i="25" s="1"/>
  <c r="K134" i="25"/>
  <c r="L134" i="25" s="1"/>
  <c r="H134" i="25"/>
  <c r="I134" i="25" s="1"/>
  <c r="F134" i="25"/>
  <c r="E134" i="25"/>
  <c r="N133" i="25"/>
  <c r="O133" i="25" s="1"/>
  <c r="K133" i="25"/>
  <c r="L133" i="25" s="1"/>
  <c r="H133" i="25"/>
  <c r="I133" i="25" s="1"/>
  <c r="F133" i="25"/>
  <c r="E133" i="25"/>
  <c r="N132" i="25"/>
  <c r="O132" i="25" s="1"/>
  <c r="K132" i="25"/>
  <c r="L132" i="25" s="1"/>
  <c r="H132" i="25"/>
  <c r="I132" i="25" s="1"/>
  <c r="F132" i="25"/>
  <c r="E132" i="25"/>
  <c r="N131" i="25"/>
  <c r="O131" i="25" s="1"/>
  <c r="L131" i="25"/>
  <c r="K131" i="25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N129" i="25"/>
  <c r="O129" i="25" s="1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L127" i="25"/>
  <c r="K127" i="25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N125" i="25"/>
  <c r="K125" i="25"/>
  <c r="H125" i="25"/>
  <c r="I12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I117" i="25"/>
  <c r="H117" i="25"/>
  <c r="E117" i="25"/>
  <c r="F117" i="25" s="1"/>
  <c r="O116" i="25"/>
  <c r="N116" i="25"/>
  <c r="K116" i="25"/>
  <c r="L116" i="25" s="1"/>
  <c r="H116" i="25"/>
  <c r="I116" i="25" s="1"/>
  <c r="E116" i="25"/>
  <c r="F116" i="25" s="1"/>
  <c r="N115" i="25"/>
  <c r="O115" i="25" s="1"/>
  <c r="L115" i="25"/>
  <c r="K115" i="25"/>
  <c r="I115" i="25"/>
  <c r="H115" i="25"/>
  <c r="E115" i="25"/>
  <c r="F115" i="25" s="1"/>
  <c r="N114" i="25"/>
  <c r="O114" i="25" s="1"/>
  <c r="K114" i="25"/>
  <c r="L114" i="25" s="1"/>
  <c r="H114" i="25"/>
  <c r="I114" i="25" s="1"/>
  <c r="E114" i="25"/>
  <c r="F114" i="25" s="1"/>
  <c r="N113" i="25"/>
  <c r="O113" i="25" s="1"/>
  <c r="K113" i="25"/>
  <c r="L113" i="25" s="1"/>
  <c r="H113" i="25"/>
  <c r="I113" i="25" s="1"/>
  <c r="E113" i="25"/>
  <c r="F113" i="25" s="1"/>
  <c r="N112" i="25"/>
  <c r="O112" i="25" s="1"/>
  <c r="L112" i="25"/>
  <c r="K112" i="25"/>
  <c r="I112" i="25"/>
  <c r="H112" i="25"/>
  <c r="E112" i="25"/>
  <c r="F112" i="25" s="1"/>
  <c r="N111" i="25"/>
  <c r="O111" i="25" s="1"/>
  <c r="K111" i="25"/>
  <c r="L111" i="25" s="1"/>
  <c r="H111" i="25"/>
  <c r="I111" i="25" s="1"/>
  <c r="E111" i="25"/>
  <c r="F111" i="25" s="1"/>
  <c r="N110" i="25"/>
  <c r="O110" i="25" s="1"/>
  <c r="L110" i="25"/>
  <c r="K110" i="25"/>
  <c r="H110" i="25"/>
  <c r="I110" i="25" s="1"/>
  <c r="E110" i="25"/>
  <c r="F110" i="25" s="1"/>
  <c r="N109" i="25"/>
  <c r="O109" i="25" s="1"/>
  <c r="K109" i="25"/>
  <c r="L109" i="25" s="1"/>
  <c r="I109" i="25"/>
  <c r="H109" i="25"/>
  <c r="E109" i="25"/>
  <c r="F109" i="25" s="1"/>
  <c r="N108" i="25"/>
  <c r="O108" i="25" s="1"/>
  <c r="K108" i="25"/>
  <c r="L108" i="25" s="1"/>
  <c r="H108" i="25"/>
  <c r="I108" i="25" s="1"/>
  <c r="E108" i="25"/>
  <c r="F108" i="25" s="1"/>
  <c r="N107" i="25"/>
  <c r="O107" i="25" s="1"/>
  <c r="K107" i="25"/>
  <c r="L107" i="25" s="1"/>
  <c r="I107" i="25"/>
  <c r="H107" i="25"/>
  <c r="E107" i="25"/>
  <c r="F107" i="25" s="1"/>
  <c r="N106" i="25"/>
  <c r="O106" i="25" s="1"/>
  <c r="K106" i="25"/>
  <c r="L106" i="25" s="1"/>
  <c r="H106" i="25"/>
  <c r="I106" i="25" s="1"/>
  <c r="E106" i="25"/>
  <c r="F106" i="25" s="1"/>
  <c r="N105" i="25"/>
  <c r="O105" i="25" s="1"/>
  <c r="K105" i="25"/>
  <c r="L105" i="25" s="1"/>
  <c r="H105" i="25"/>
  <c r="I105" i="25" s="1"/>
  <c r="E105" i="25"/>
  <c r="F105" i="25" s="1"/>
  <c r="N104" i="25"/>
  <c r="O104" i="25" s="1"/>
  <c r="K104" i="25"/>
  <c r="L104" i="25" s="1"/>
  <c r="I104" i="25"/>
  <c r="H104" i="25"/>
  <c r="E104" i="25"/>
  <c r="F104" i="25" s="1"/>
  <c r="N103" i="25"/>
  <c r="O103" i="25" s="1"/>
  <c r="K103" i="25"/>
  <c r="L103" i="25" s="1"/>
  <c r="H103" i="25"/>
  <c r="I103" i="25" s="1"/>
  <c r="E103" i="25"/>
  <c r="F103" i="25" s="1"/>
  <c r="N102" i="25"/>
  <c r="O102" i="25" s="1"/>
  <c r="K102" i="25"/>
  <c r="L102" i="25" s="1"/>
  <c r="H102" i="25"/>
  <c r="I102" i="25" s="1"/>
  <c r="E102" i="25"/>
  <c r="F102" i="25" s="1"/>
  <c r="N101" i="25"/>
  <c r="O101" i="25" s="1"/>
  <c r="K101" i="25"/>
  <c r="L101" i="25" s="1"/>
  <c r="I101" i="25"/>
  <c r="H101" i="25"/>
  <c r="E101" i="25"/>
  <c r="F101" i="25" s="1"/>
  <c r="N100" i="25"/>
  <c r="O100" i="25" s="1"/>
  <c r="K100" i="25"/>
  <c r="L100" i="25" s="1"/>
  <c r="H100" i="25"/>
  <c r="I100" i="25" s="1"/>
  <c r="E100" i="25"/>
  <c r="F100" i="25" s="1"/>
  <c r="N99" i="25"/>
  <c r="O99" i="25" s="1"/>
  <c r="K99" i="25"/>
  <c r="L99" i="25" s="1"/>
  <c r="I99" i="25"/>
  <c r="H99" i="25"/>
  <c r="E99" i="25"/>
  <c r="F99" i="25" s="1"/>
  <c r="O98" i="25"/>
  <c r="N98" i="25"/>
  <c r="K98" i="25"/>
  <c r="L98" i="25" s="1"/>
  <c r="H98" i="25"/>
  <c r="I98" i="25" s="1"/>
  <c r="E98" i="25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L88" i="25"/>
  <c r="K88" i="25"/>
  <c r="H88" i="25"/>
  <c r="I88" i="25" s="1"/>
  <c r="F88" i="25"/>
  <c r="E88" i="25"/>
  <c r="N87" i="25"/>
  <c r="O87" i="25" s="1"/>
  <c r="K87" i="25"/>
  <c r="L87" i="25" s="1"/>
  <c r="H87" i="25"/>
  <c r="I87" i="25" s="1"/>
  <c r="F87" i="25"/>
  <c r="E87" i="25"/>
  <c r="O86" i="25"/>
  <c r="N86" i="25"/>
  <c r="K86" i="25"/>
  <c r="L86" i="25" s="1"/>
  <c r="H86" i="25"/>
  <c r="I86" i="25" s="1"/>
  <c r="F86" i="25"/>
  <c r="E86" i="25"/>
  <c r="N85" i="25"/>
  <c r="O85" i="25" s="1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N83" i="25"/>
  <c r="O83" i="25" s="1"/>
  <c r="K83" i="25"/>
  <c r="L83" i="25" s="1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N80" i="25"/>
  <c r="O80" i="25" s="1"/>
  <c r="L80" i="25"/>
  <c r="K80" i="25"/>
  <c r="H80" i="25"/>
  <c r="I80" i="25" s="1"/>
  <c r="F80" i="25"/>
  <c r="E80" i="25"/>
  <c r="O79" i="25"/>
  <c r="N79" i="25"/>
  <c r="K79" i="25"/>
  <c r="L79" i="25" s="1"/>
  <c r="H79" i="25"/>
  <c r="I79" i="25" s="1"/>
  <c r="F79" i="25"/>
  <c r="E79" i="25"/>
  <c r="N78" i="25"/>
  <c r="O78" i="25" s="1"/>
  <c r="L78" i="25"/>
  <c r="K78" i="25"/>
  <c r="H78" i="25"/>
  <c r="I78" i="25" s="1"/>
  <c r="F78" i="25"/>
  <c r="E78" i="25"/>
  <c r="N77" i="25"/>
  <c r="O77" i="25" s="1"/>
  <c r="K77" i="25"/>
  <c r="L77" i="25" s="1"/>
  <c r="H77" i="25"/>
  <c r="I77" i="25" s="1"/>
  <c r="F77" i="25"/>
  <c r="E77" i="25"/>
  <c r="N76" i="25"/>
  <c r="O76" i="25" s="1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N74" i="25"/>
  <c r="O74" i="25" s="1"/>
  <c r="L74" i="25"/>
  <c r="K74" i="25"/>
  <c r="H74" i="25"/>
  <c r="I74" i="25" s="1"/>
  <c r="F74" i="25"/>
  <c r="E74" i="25"/>
  <c r="N73" i="25"/>
  <c r="O73" i="25" s="1"/>
  <c r="K73" i="25"/>
  <c r="L73" i="25" s="1"/>
  <c r="H73" i="25"/>
  <c r="I73" i="25" s="1"/>
  <c r="F73" i="25"/>
  <c r="E73" i="25"/>
  <c r="O72" i="25"/>
  <c r="N72" i="25"/>
  <c r="L72" i="25"/>
  <c r="K72" i="25"/>
  <c r="H72" i="25"/>
  <c r="I72" i="25" s="1"/>
  <c r="F72" i="25"/>
  <c r="E72" i="25"/>
  <c r="N71" i="25"/>
  <c r="K71" i="25"/>
  <c r="H71" i="25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E62" i="25"/>
  <c r="F62" i="25" s="1"/>
  <c r="N61" i="25"/>
  <c r="O61" i="25" s="1"/>
  <c r="K61" i="25"/>
  <c r="L61" i="25" s="1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N57" i="25"/>
  <c r="O57" i="25" s="1"/>
  <c r="K57" i="25"/>
  <c r="L57" i="25" s="1"/>
  <c r="I57" i="25"/>
  <c r="H57" i="25"/>
  <c r="E57" i="25"/>
  <c r="F57" i="25" s="1"/>
  <c r="N56" i="25"/>
  <c r="O56" i="25" s="1"/>
  <c r="K56" i="25"/>
  <c r="L56" i="25" s="1"/>
  <c r="H56" i="25"/>
  <c r="I56" i="25" s="1"/>
  <c r="E56" i="25"/>
  <c r="F56" i="25" s="1"/>
  <c r="O55" i="25"/>
  <c r="N55" i="25"/>
  <c r="L55" i="25"/>
  <c r="K55" i="25"/>
  <c r="H55" i="25"/>
  <c r="I55" i="25" s="1"/>
  <c r="E55" i="25"/>
  <c r="F55" i="25" s="1"/>
  <c r="N54" i="25"/>
  <c r="O54" i="25" s="1"/>
  <c r="K54" i="25"/>
  <c r="L54" i="25" s="1"/>
  <c r="H54" i="25"/>
  <c r="I54" i="25" s="1"/>
  <c r="E54" i="25"/>
  <c r="F54" i="25" s="1"/>
  <c r="N53" i="25"/>
  <c r="O53" i="25" s="1"/>
  <c r="L53" i="25"/>
  <c r="K53" i="25"/>
  <c r="I53" i="25"/>
  <c r="H53" i="25"/>
  <c r="E53" i="25"/>
  <c r="F53" i="25" s="1"/>
  <c r="N52" i="25"/>
  <c r="O52" i="25" s="1"/>
  <c r="K52" i="25"/>
  <c r="L52" i="25" s="1"/>
  <c r="H52" i="25"/>
  <c r="I52" i="25" s="1"/>
  <c r="E52" i="25"/>
  <c r="F52" i="25" s="1"/>
  <c r="N51" i="25"/>
  <c r="O51" i="25" s="1"/>
  <c r="K51" i="25"/>
  <c r="L51" i="25" s="1"/>
  <c r="H51" i="25"/>
  <c r="I51" i="25" s="1"/>
  <c r="E51" i="25"/>
  <c r="F51" i="25" s="1"/>
  <c r="O50" i="25"/>
  <c r="N50" i="25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L48" i="25"/>
  <c r="K48" i="25"/>
  <c r="H48" i="25"/>
  <c r="I48" i="25" s="1"/>
  <c r="E48" i="25"/>
  <c r="F48" i="25" s="1"/>
  <c r="N47" i="25"/>
  <c r="O47" i="25" s="1"/>
  <c r="K47" i="25"/>
  <c r="L47" i="25" s="1"/>
  <c r="H47" i="25"/>
  <c r="I47" i="25" s="1"/>
  <c r="E47" i="25"/>
  <c r="F47" i="25" s="1"/>
  <c r="N46" i="25"/>
  <c r="O46" i="25" s="1"/>
  <c r="L46" i="25"/>
  <c r="K46" i="25"/>
  <c r="H46" i="25"/>
  <c r="I46" i="25" s="1"/>
  <c r="E46" i="25"/>
  <c r="F46" i="25" s="1"/>
  <c r="O45" i="25"/>
  <c r="N45" i="25"/>
  <c r="K45" i="25"/>
  <c r="L45" i="25" s="1"/>
  <c r="I45" i="25"/>
  <c r="H45" i="25"/>
  <c r="E45" i="25"/>
  <c r="F45" i="25" s="1"/>
  <c r="N44" i="25"/>
  <c r="O44" i="25" s="1"/>
  <c r="K44" i="25"/>
  <c r="L44" i="25" s="1"/>
  <c r="H44" i="25"/>
  <c r="I44" i="25" s="1"/>
  <c r="E44" i="25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N21" i="25"/>
  <c r="M21" i="25"/>
  <c r="K21" i="25"/>
  <c r="J21" i="25"/>
  <c r="H21" i="25"/>
  <c r="G21" i="25"/>
  <c r="E21" i="25"/>
  <c r="D21" i="25"/>
  <c r="C21" i="25"/>
  <c r="B21" i="25"/>
  <c r="N20" i="25"/>
  <c r="M20" i="25"/>
  <c r="J20" i="25"/>
  <c r="G20" i="25"/>
  <c r="E20" i="25"/>
  <c r="D20" i="25"/>
  <c r="C20" i="25"/>
  <c r="B20" i="25"/>
  <c r="N19" i="25"/>
  <c r="M19" i="25"/>
  <c r="K19" i="25"/>
  <c r="J19" i="25"/>
  <c r="H19" i="25"/>
  <c r="G19" i="25"/>
  <c r="E19" i="25"/>
  <c r="D19" i="25"/>
  <c r="C19" i="25"/>
  <c r="B19" i="25"/>
  <c r="N18" i="25"/>
  <c r="M18" i="25"/>
  <c r="K18" i="25"/>
  <c r="J18" i="25"/>
  <c r="H18" i="25"/>
  <c r="G18" i="25"/>
  <c r="E18" i="25"/>
  <c r="D18" i="25"/>
  <c r="C18" i="25"/>
  <c r="B18" i="25"/>
  <c r="N17" i="25"/>
  <c r="M17" i="25"/>
  <c r="K17" i="25"/>
  <c r="J17" i="25"/>
  <c r="H17" i="25"/>
  <c r="G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E198" i="24"/>
  <c r="F198" i="24" s="1"/>
  <c r="N197" i="24"/>
  <c r="O197" i="24" s="1"/>
  <c r="K197" i="24"/>
  <c r="L197" i="24" s="1"/>
  <c r="H197" i="24"/>
  <c r="I197" i="24" s="1"/>
  <c r="E197" i="24"/>
  <c r="F197" i="24" s="1"/>
  <c r="N196" i="24"/>
  <c r="O196" i="24" s="1"/>
  <c r="K196" i="24"/>
  <c r="L196" i="24" s="1"/>
  <c r="I196" i="24"/>
  <c r="H196" i="24"/>
  <c r="E196" i="24"/>
  <c r="F196" i="24" s="1"/>
  <c r="N195" i="24"/>
  <c r="O195" i="24" s="1"/>
  <c r="K195" i="24"/>
  <c r="L195" i="24" s="1"/>
  <c r="H195" i="24"/>
  <c r="I195" i="24" s="1"/>
  <c r="E195" i="24"/>
  <c r="F195" i="24" s="1"/>
  <c r="N194" i="24"/>
  <c r="O194" i="24" s="1"/>
  <c r="K194" i="24"/>
  <c r="L194" i="24" s="1"/>
  <c r="H194" i="24"/>
  <c r="I194" i="24" s="1"/>
  <c r="E194" i="24"/>
  <c r="F194" i="24" s="1"/>
  <c r="N193" i="24"/>
  <c r="O193" i="24" s="1"/>
  <c r="K193" i="24"/>
  <c r="L193" i="24" s="1"/>
  <c r="H193" i="24"/>
  <c r="I193" i="24" s="1"/>
  <c r="E193" i="24"/>
  <c r="F193" i="24" s="1"/>
  <c r="N192" i="24"/>
  <c r="O192" i="24" s="1"/>
  <c r="L192" i="24"/>
  <c r="K192" i="24"/>
  <c r="H192" i="24"/>
  <c r="I192" i="24" s="1"/>
  <c r="E192" i="24"/>
  <c r="F192" i="24" s="1"/>
  <c r="N191" i="24"/>
  <c r="O191" i="24" s="1"/>
  <c r="K191" i="24"/>
  <c r="L191" i="24" s="1"/>
  <c r="H191" i="24"/>
  <c r="I191" i="24" s="1"/>
  <c r="E191" i="24"/>
  <c r="F191" i="24" s="1"/>
  <c r="N190" i="24"/>
  <c r="O190" i="24" s="1"/>
  <c r="K190" i="24"/>
  <c r="L190" i="24" s="1"/>
  <c r="H190" i="24"/>
  <c r="I190" i="24" s="1"/>
  <c r="E190" i="24"/>
  <c r="F190" i="24" s="1"/>
  <c r="N189" i="24"/>
  <c r="O189" i="24" s="1"/>
  <c r="K189" i="24"/>
  <c r="L189" i="24" s="1"/>
  <c r="H189" i="24"/>
  <c r="I189" i="24" s="1"/>
  <c r="E189" i="24"/>
  <c r="F189" i="24" s="1"/>
  <c r="N188" i="24"/>
  <c r="O188" i="24" s="1"/>
  <c r="L188" i="24"/>
  <c r="K188" i="24"/>
  <c r="I188" i="24"/>
  <c r="H188" i="24"/>
  <c r="E188" i="24"/>
  <c r="F188" i="24" s="1"/>
  <c r="N187" i="24"/>
  <c r="O187" i="24" s="1"/>
  <c r="K187" i="24"/>
  <c r="L187" i="24" s="1"/>
  <c r="H187" i="24"/>
  <c r="I187" i="24" s="1"/>
  <c r="E187" i="24"/>
  <c r="F187" i="24" s="1"/>
  <c r="N186" i="24"/>
  <c r="O186" i="24" s="1"/>
  <c r="K186" i="24"/>
  <c r="L186" i="24" s="1"/>
  <c r="H186" i="24"/>
  <c r="I186" i="24" s="1"/>
  <c r="E186" i="24"/>
  <c r="F186" i="24" s="1"/>
  <c r="O185" i="24"/>
  <c r="N185" i="24"/>
  <c r="L185" i="24"/>
  <c r="K185" i="24"/>
  <c r="H185" i="24"/>
  <c r="I185" i="24" s="1"/>
  <c r="E185" i="24"/>
  <c r="F185" i="24" s="1"/>
  <c r="N184" i="24"/>
  <c r="O184" i="24" s="1"/>
  <c r="K184" i="24"/>
  <c r="L184" i="24" s="1"/>
  <c r="H184" i="24"/>
  <c r="I184" i="24" s="1"/>
  <c r="E184" i="24"/>
  <c r="F184" i="24" s="1"/>
  <c r="N183" i="24"/>
  <c r="O183" i="24" s="1"/>
  <c r="K183" i="24"/>
  <c r="L183" i="24" s="1"/>
  <c r="H183" i="24"/>
  <c r="I183" i="24" s="1"/>
  <c r="E183" i="24"/>
  <c r="F183" i="24" s="1"/>
  <c r="O182" i="24"/>
  <c r="N182" i="24"/>
  <c r="K182" i="24"/>
  <c r="L182" i="24" s="1"/>
  <c r="H182" i="24"/>
  <c r="I182" i="24" s="1"/>
  <c r="E182" i="24"/>
  <c r="F182" i="24" s="1"/>
  <c r="N181" i="24"/>
  <c r="O181" i="24" s="1"/>
  <c r="L181" i="24"/>
  <c r="K181" i="24"/>
  <c r="H181" i="24"/>
  <c r="I181" i="24" s="1"/>
  <c r="E181" i="24"/>
  <c r="F181" i="24" s="1"/>
  <c r="N180" i="24"/>
  <c r="O180" i="24" s="1"/>
  <c r="K180" i="24"/>
  <c r="L180" i="24" s="1"/>
  <c r="H180" i="24"/>
  <c r="I180" i="24" s="1"/>
  <c r="E180" i="24"/>
  <c r="F180" i="24" s="1"/>
  <c r="O179" i="24"/>
  <c r="N179" i="24"/>
  <c r="K179" i="24"/>
  <c r="L179" i="24" s="1"/>
  <c r="H179" i="24"/>
  <c r="E179" i="24"/>
  <c r="M177" i="24"/>
  <c r="J177" i="24"/>
  <c r="G177" i="24"/>
  <c r="D177" i="24"/>
  <c r="B177" i="24"/>
  <c r="M176" i="24"/>
  <c r="G176" i="24"/>
  <c r="B172" i="24"/>
  <c r="N171" i="24"/>
  <c r="O171" i="24" s="1"/>
  <c r="K171" i="24"/>
  <c r="L171" i="24" s="1"/>
  <c r="H171" i="24"/>
  <c r="I171" i="24" s="1"/>
  <c r="E171" i="24"/>
  <c r="F171" i="24" s="1"/>
  <c r="N170" i="24"/>
  <c r="O170" i="24" s="1"/>
  <c r="L170" i="24"/>
  <c r="K170" i="24"/>
  <c r="H170" i="24"/>
  <c r="I170" i="24" s="1"/>
  <c r="E170" i="24"/>
  <c r="F170" i="24" s="1"/>
  <c r="N169" i="24"/>
  <c r="O169" i="24" s="1"/>
  <c r="K169" i="24"/>
  <c r="L169" i="24" s="1"/>
  <c r="H169" i="24"/>
  <c r="I169" i="24" s="1"/>
  <c r="E169" i="24"/>
  <c r="F169" i="24" s="1"/>
  <c r="N168" i="24"/>
  <c r="O168" i="24" s="1"/>
  <c r="K168" i="24"/>
  <c r="L168" i="24" s="1"/>
  <c r="H168" i="24"/>
  <c r="I168" i="24" s="1"/>
  <c r="E168" i="24"/>
  <c r="F168" i="24" s="1"/>
  <c r="N167" i="24"/>
  <c r="O167" i="24" s="1"/>
  <c r="K167" i="24"/>
  <c r="L167" i="24" s="1"/>
  <c r="H167" i="24"/>
  <c r="I167" i="24" s="1"/>
  <c r="E167" i="24"/>
  <c r="F167" i="24" s="1"/>
  <c r="N166" i="24"/>
  <c r="O166" i="24" s="1"/>
  <c r="K166" i="24"/>
  <c r="L166" i="24" s="1"/>
  <c r="I166" i="24"/>
  <c r="H166" i="24"/>
  <c r="E166" i="24"/>
  <c r="F166" i="24" s="1"/>
  <c r="N165" i="24"/>
  <c r="O165" i="24" s="1"/>
  <c r="K165" i="24"/>
  <c r="L165" i="24" s="1"/>
  <c r="H165" i="24"/>
  <c r="I165" i="24" s="1"/>
  <c r="E165" i="24"/>
  <c r="F165" i="24" s="1"/>
  <c r="N164" i="24"/>
  <c r="O164" i="24" s="1"/>
  <c r="K164" i="24"/>
  <c r="L164" i="24" s="1"/>
  <c r="H164" i="24"/>
  <c r="I164" i="24" s="1"/>
  <c r="E164" i="24"/>
  <c r="F164" i="24" s="1"/>
  <c r="N163" i="24"/>
  <c r="O163" i="24" s="1"/>
  <c r="L163" i="24"/>
  <c r="K163" i="24"/>
  <c r="H163" i="24"/>
  <c r="I163" i="24" s="1"/>
  <c r="E163" i="24"/>
  <c r="F163" i="24" s="1"/>
  <c r="N162" i="24"/>
  <c r="O162" i="24" s="1"/>
  <c r="K162" i="24"/>
  <c r="L162" i="24" s="1"/>
  <c r="H162" i="24"/>
  <c r="I162" i="24" s="1"/>
  <c r="E162" i="24"/>
  <c r="F162" i="24" s="1"/>
  <c r="N161" i="24"/>
  <c r="O161" i="24" s="1"/>
  <c r="K161" i="24"/>
  <c r="L161" i="24" s="1"/>
  <c r="H161" i="24"/>
  <c r="I161" i="24" s="1"/>
  <c r="E161" i="24"/>
  <c r="F161" i="24" s="1"/>
  <c r="N160" i="24"/>
  <c r="O160" i="24" s="1"/>
  <c r="K160" i="24"/>
  <c r="L160" i="24" s="1"/>
  <c r="H160" i="24"/>
  <c r="I160" i="24" s="1"/>
  <c r="E160" i="24"/>
  <c r="F160" i="24" s="1"/>
  <c r="O159" i="24"/>
  <c r="N159" i="24"/>
  <c r="K159" i="24"/>
  <c r="L159" i="24" s="1"/>
  <c r="H159" i="24"/>
  <c r="I159" i="24" s="1"/>
  <c r="E159" i="24"/>
  <c r="F159" i="24" s="1"/>
  <c r="N158" i="24"/>
  <c r="O158" i="24" s="1"/>
  <c r="K158" i="24"/>
  <c r="L158" i="24" s="1"/>
  <c r="I158" i="24"/>
  <c r="H158" i="24"/>
  <c r="E158" i="24"/>
  <c r="F158" i="24" s="1"/>
  <c r="N157" i="24"/>
  <c r="O157" i="24" s="1"/>
  <c r="K157" i="24"/>
  <c r="L157" i="24" s="1"/>
  <c r="H157" i="24"/>
  <c r="I157" i="24" s="1"/>
  <c r="E157" i="24"/>
  <c r="F157" i="24" s="1"/>
  <c r="N156" i="24"/>
  <c r="O156" i="24" s="1"/>
  <c r="K156" i="24"/>
  <c r="L156" i="24" s="1"/>
  <c r="H156" i="24"/>
  <c r="I156" i="24" s="1"/>
  <c r="E156" i="24"/>
  <c r="F156" i="24" s="1"/>
  <c r="N155" i="24"/>
  <c r="O155" i="24" s="1"/>
  <c r="K155" i="24"/>
  <c r="L155" i="24" s="1"/>
  <c r="H155" i="24"/>
  <c r="I155" i="24" s="1"/>
  <c r="E155" i="24"/>
  <c r="F155" i="24" s="1"/>
  <c r="N154" i="24"/>
  <c r="O154" i="24" s="1"/>
  <c r="K154" i="24"/>
  <c r="L154" i="24" s="1"/>
  <c r="H154" i="24"/>
  <c r="I154" i="24" s="1"/>
  <c r="E154" i="24"/>
  <c r="F154" i="24" s="1"/>
  <c r="N153" i="24"/>
  <c r="O153" i="24" s="1"/>
  <c r="L153" i="24"/>
  <c r="K153" i="24"/>
  <c r="H153" i="24"/>
  <c r="I153" i="24" s="1"/>
  <c r="E153" i="24"/>
  <c r="F153" i="24" s="1"/>
  <c r="N152" i="24"/>
  <c r="O152" i="24" s="1"/>
  <c r="K152" i="24"/>
  <c r="L152" i="24" s="1"/>
  <c r="H152" i="24"/>
  <c r="I152" i="24" s="1"/>
  <c r="E152" i="24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I144" i="24"/>
  <c r="H144" i="24"/>
  <c r="F144" i="24"/>
  <c r="E144" i="24"/>
  <c r="N143" i="24"/>
  <c r="O143" i="24" s="1"/>
  <c r="K143" i="24"/>
  <c r="L143" i="24" s="1"/>
  <c r="H143" i="24"/>
  <c r="I143" i="24" s="1"/>
  <c r="E143" i="24"/>
  <c r="F143" i="24" s="1"/>
  <c r="N142" i="24"/>
  <c r="O142" i="24" s="1"/>
  <c r="K142" i="24"/>
  <c r="L142" i="24" s="1"/>
  <c r="H142" i="24"/>
  <c r="I142" i="24" s="1"/>
  <c r="E142" i="24"/>
  <c r="F142" i="24" s="1"/>
  <c r="O141" i="24"/>
  <c r="N141" i="24"/>
  <c r="K141" i="24"/>
  <c r="L141" i="24" s="1"/>
  <c r="H141" i="24"/>
  <c r="I141" i="24" s="1"/>
  <c r="E141" i="24"/>
  <c r="F141" i="24" s="1"/>
  <c r="N140" i="24"/>
  <c r="O140" i="24" s="1"/>
  <c r="K140" i="24"/>
  <c r="L140" i="24" s="1"/>
  <c r="H140" i="24"/>
  <c r="I140" i="24" s="1"/>
  <c r="E140" i="24"/>
  <c r="F140" i="24" s="1"/>
  <c r="N139" i="24"/>
  <c r="O139" i="24" s="1"/>
  <c r="K139" i="24"/>
  <c r="L139" i="24" s="1"/>
  <c r="H139" i="24"/>
  <c r="I139" i="24" s="1"/>
  <c r="E139" i="24"/>
  <c r="F139" i="24" s="1"/>
  <c r="O138" i="24"/>
  <c r="N138" i="24"/>
  <c r="K138" i="24"/>
  <c r="L138" i="24" s="1"/>
  <c r="H138" i="24"/>
  <c r="I138" i="24" s="1"/>
  <c r="E138" i="24"/>
  <c r="F138" i="24" s="1"/>
  <c r="O137" i="24"/>
  <c r="N137" i="24"/>
  <c r="K137" i="24"/>
  <c r="L137" i="24" s="1"/>
  <c r="H137" i="24"/>
  <c r="I137" i="24" s="1"/>
  <c r="E137" i="24"/>
  <c r="F137" i="24" s="1"/>
  <c r="N136" i="24"/>
  <c r="O136" i="24" s="1"/>
  <c r="K136" i="24"/>
  <c r="L136" i="24" s="1"/>
  <c r="H136" i="24"/>
  <c r="I136" i="24" s="1"/>
  <c r="E136" i="24"/>
  <c r="F136" i="24" s="1"/>
  <c r="N135" i="24"/>
  <c r="O135" i="24" s="1"/>
  <c r="K135" i="24"/>
  <c r="L135" i="24" s="1"/>
  <c r="H135" i="24"/>
  <c r="I135" i="24" s="1"/>
  <c r="E135" i="24"/>
  <c r="F135" i="24" s="1"/>
  <c r="N134" i="24"/>
  <c r="O134" i="24" s="1"/>
  <c r="K134" i="24"/>
  <c r="L134" i="24" s="1"/>
  <c r="H134" i="24"/>
  <c r="I134" i="24" s="1"/>
  <c r="E134" i="24"/>
  <c r="F134" i="24" s="1"/>
  <c r="O133" i="24"/>
  <c r="N133" i="24"/>
  <c r="K133" i="24"/>
  <c r="L133" i="24" s="1"/>
  <c r="H133" i="24"/>
  <c r="I133" i="24" s="1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O130" i="24"/>
  <c r="N130" i="24"/>
  <c r="K130" i="24"/>
  <c r="L130" i="24" s="1"/>
  <c r="H130" i="24"/>
  <c r="I130" i="24" s="1"/>
  <c r="E130" i="24"/>
  <c r="F130" i="24" s="1"/>
  <c r="O129" i="24"/>
  <c r="N129" i="24"/>
  <c r="K129" i="24"/>
  <c r="L129" i="24" s="1"/>
  <c r="H129" i="24"/>
  <c r="I129" i="24" s="1"/>
  <c r="E129" i="24"/>
  <c r="F129" i="24" s="1"/>
  <c r="N128" i="24"/>
  <c r="O128" i="24" s="1"/>
  <c r="K128" i="24"/>
  <c r="L128" i="24" s="1"/>
  <c r="I128" i="24"/>
  <c r="H128" i="24"/>
  <c r="E128" i="24"/>
  <c r="F128" i="24" s="1"/>
  <c r="O127" i="24"/>
  <c r="N127" i="24"/>
  <c r="K127" i="24"/>
  <c r="L127" i="24" s="1"/>
  <c r="H127" i="24"/>
  <c r="I127" i="24" s="1"/>
  <c r="E127" i="24"/>
  <c r="F127" i="24" s="1"/>
  <c r="O126" i="24"/>
  <c r="N126" i="24"/>
  <c r="K126" i="24"/>
  <c r="L126" i="24" s="1"/>
  <c r="H126" i="24"/>
  <c r="I126" i="24" s="1"/>
  <c r="E126" i="24"/>
  <c r="F126" i="24" s="1"/>
  <c r="N125" i="24"/>
  <c r="O125" i="24" s="1"/>
  <c r="K125" i="24"/>
  <c r="H125" i="24"/>
  <c r="I125" i="24" s="1"/>
  <c r="E125" i="24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F117" i="24"/>
  <c r="E117" i="24"/>
  <c r="O116" i="24"/>
  <c r="N116" i="24"/>
  <c r="K116" i="24"/>
  <c r="L116" i="24" s="1"/>
  <c r="H116" i="24"/>
  <c r="I116" i="24" s="1"/>
  <c r="F116" i="24"/>
  <c r="E116" i="24"/>
  <c r="N115" i="24"/>
  <c r="O115" i="24" s="1"/>
  <c r="K115" i="24"/>
  <c r="L115" i="24" s="1"/>
  <c r="H115" i="24"/>
  <c r="I115" i="24" s="1"/>
  <c r="F115" i="24"/>
  <c r="E115" i="24"/>
  <c r="N114" i="24"/>
  <c r="O114" i="24" s="1"/>
  <c r="K114" i="24"/>
  <c r="L114" i="24" s="1"/>
  <c r="H114" i="24"/>
  <c r="I114" i="24" s="1"/>
  <c r="F114" i="24"/>
  <c r="E114" i="24"/>
  <c r="N113" i="24"/>
  <c r="O113" i="24" s="1"/>
  <c r="K113" i="24"/>
  <c r="L113" i="24" s="1"/>
  <c r="H113" i="24"/>
  <c r="I113" i="24" s="1"/>
  <c r="F113" i="24"/>
  <c r="E113" i="24"/>
  <c r="O112" i="24"/>
  <c r="N112" i="24"/>
  <c r="L112" i="24"/>
  <c r="K112" i="24"/>
  <c r="H112" i="24"/>
  <c r="I112" i="24" s="1"/>
  <c r="F112" i="24"/>
  <c r="E112" i="24"/>
  <c r="N111" i="24"/>
  <c r="O111" i="24" s="1"/>
  <c r="K111" i="24"/>
  <c r="L111" i="24" s="1"/>
  <c r="H111" i="24"/>
  <c r="I111" i="24" s="1"/>
  <c r="F111" i="24"/>
  <c r="E111" i="24"/>
  <c r="N110" i="24"/>
  <c r="O110" i="24" s="1"/>
  <c r="K110" i="24"/>
  <c r="L110" i="24" s="1"/>
  <c r="H110" i="24"/>
  <c r="I110" i="24" s="1"/>
  <c r="F110" i="24"/>
  <c r="E110" i="24"/>
  <c r="O109" i="24"/>
  <c r="N109" i="24"/>
  <c r="K109" i="24"/>
  <c r="L109" i="24" s="1"/>
  <c r="H109" i="24"/>
  <c r="I109" i="24" s="1"/>
  <c r="F109" i="24"/>
  <c r="E109" i="24"/>
  <c r="N108" i="24"/>
  <c r="O108" i="24" s="1"/>
  <c r="K108" i="24"/>
  <c r="L108" i="24" s="1"/>
  <c r="H108" i="24"/>
  <c r="I108" i="24" s="1"/>
  <c r="F108" i="24"/>
  <c r="E108" i="24"/>
  <c r="N107" i="24"/>
  <c r="O107" i="24" s="1"/>
  <c r="K107" i="24"/>
  <c r="L107" i="24" s="1"/>
  <c r="H107" i="24"/>
  <c r="I107" i="24" s="1"/>
  <c r="E107" i="24"/>
  <c r="F107" i="24" s="1"/>
  <c r="O106" i="24"/>
  <c r="N106" i="24"/>
  <c r="K106" i="24"/>
  <c r="L106" i="24" s="1"/>
  <c r="H106" i="24"/>
  <c r="I106" i="24" s="1"/>
  <c r="F106" i="24"/>
  <c r="E106" i="24"/>
  <c r="N105" i="24"/>
  <c r="O105" i="24" s="1"/>
  <c r="K105" i="24"/>
  <c r="L105" i="24" s="1"/>
  <c r="H105" i="24"/>
  <c r="I105" i="24" s="1"/>
  <c r="F105" i="24"/>
  <c r="E105" i="24"/>
  <c r="N104" i="24"/>
  <c r="O104" i="24" s="1"/>
  <c r="K104" i="24"/>
  <c r="L104" i="24" s="1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N101" i="24"/>
  <c r="O101" i="24" s="1"/>
  <c r="L101" i="24"/>
  <c r="K101" i="24"/>
  <c r="H101" i="24"/>
  <c r="I101" i="24" s="1"/>
  <c r="F101" i="24"/>
  <c r="E101" i="24"/>
  <c r="N100" i="24"/>
  <c r="O100" i="24" s="1"/>
  <c r="K100" i="24"/>
  <c r="L100" i="24" s="1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N98" i="24"/>
  <c r="O98" i="24" s="1"/>
  <c r="K98" i="24"/>
  <c r="H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N89" i="24"/>
  <c r="O89" i="24" s="1"/>
  <c r="K89" i="24"/>
  <c r="L89" i="24" s="1"/>
  <c r="H89" i="24"/>
  <c r="I89" i="24" s="1"/>
  <c r="E89" i="24"/>
  <c r="F89" i="24" s="1"/>
  <c r="O88" i="24"/>
  <c r="N88" i="24"/>
  <c r="L88" i="24"/>
  <c r="K88" i="24"/>
  <c r="H88" i="24"/>
  <c r="I88" i="24" s="1"/>
  <c r="E88" i="24"/>
  <c r="F88" i="24" s="1"/>
  <c r="N87" i="24"/>
  <c r="O87" i="24" s="1"/>
  <c r="K87" i="24"/>
  <c r="L87" i="24" s="1"/>
  <c r="I87" i="24"/>
  <c r="H87" i="24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O21" i="24" s="1"/>
  <c r="K85" i="24"/>
  <c r="L85" i="24" s="1"/>
  <c r="L21" i="24" s="1"/>
  <c r="H85" i="24"/>
  <c r="H21" i="24" s="1"/>
  <c r="E85" i="24"/>
  <c r="F85" i="24" s="1"/>
  <c r="F21" i="24" s="1"/>
  <c r="N84" i="24"/>
  <c r="N20" i="24" s="1"/>
  <c r="K84" i="24"/>
  <c r="L84" i="24" s="1"/>
  <c r="L20" i="24" s="1"/>
  <c r="H84" i="24"/>
  <c r="I84" i="24" s="1"/>
  <c r="I20" i="24" s="1"/>
  <c r="E84" i="24"/>
  <c r="F84" i="24" s="1"/>
  <c r="F20" i="24" s="1"/>
  <c r="O83" i="24"/>
  <c r="O19" i="24" s="1"/>
  <c r="N83" i="24"/>
  <c r="L83" i="24"/>
  <c r="L19" i="24" s="1"/>
  <c r="K83" i="24"/>
  <c r="H83" i="24"/>
  <c r="H19" i="24" s="1"/>
  <c r="E83" i="24"/>
  <c r="F83" i="24" s="1"/>
  <c r="F19" i="24" s="1"/>
  <c r="O82" i="24"/>
  <c r="N82" i="24"/>
  <c r="N18" i="24" s="1"/>
  <c r="K82" i="24"/>
  <c r="L82" i="24" s="1"/>
  <c r="L18" i="24" s="1"/>
  <c r="H82" i="24"/>
  <c r="H18" i="24" s="1"/>
  <c r="E82" i="24"/>
  <c r="F82" i="24" s="1"/>
  <c r="F18" i="24" s="1"/>
  <c r="N81" i="24"/>
  <c r="N17" i="24" s="1"/>
  <c r="K81" i="24"/>
  <c r="L81" i="24" s="1"/>
  <c r="L17" i="24" s="1"/>
  <c r="H81" i="24"/>
  <c r="H17" i="24" s="1"/>
  <c r="E81" i="24"/>
  <c r="F81" i="24" s="1"/>
  <c r="F17" i="24" s="1"/>
  <c r="N80" i="24"/>
  <c r="O80" i="24" s="1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N78" i="24"/>
  <c r="O78" i="24" s="1"/>
  <c r="K78" i="24"/>
  <c r="L78" i="24" s="1"/>
  <c r="H78" i="24"/>
  <c r="I78" i="24" s="1"/>
  <c r="E78" i="24"/>
  <c r="F78" i="24" s="1"/>
  <c r="O77" i="24"/>
  <c r="N77" i="24"/>
  <c r="L77" i="24"/>
  <c r="K77" i="24"/>
  <c r="H77" i="24"/>
  <c r="I77" i="24" s="1"/>
  <c r="E77" i="24"/>
  <c r="F77" i="24" s="1"/>
  <c r="O76" i="24"/>
  <c r="N76" i="24"/>
  <c r="K76" i="24"/>
  <c r="L76" i="24" s="1"/>
  <c r="I76" i="24"/>
  <c r="H76" i="24"/>
  <c r="E76" i="24"/>
  <c r="F76" i="24" s="1"/>
  <c r="O75" i="24"/>
  <c r="N75" i="24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N72" i="24"/>
  <c r="O72" i="24" s="1"/>
  <c r="L72" i="24"/>
  <c r="K72" i="24"/>
  <c r="I72" i="24"/>
  <c r="H72" i="24"/>
  <c r="E72" i="24"/>
  <c r="F72" i="24" s="1"/>
  <c r="N71" i="24"/>
  <c r="O71" i="24" s="1"/>
  <c r="K71" i="24"/>
  <c r="H71" i="24"/>
  <c r="I71" i="24" s="1"/>
  <c r="E71" i="24"/>
  <c r="F7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N62" i="24"/>
  <c r="O62" i="24" s="1"/>
  <c r="K62" i="24"/>
  <c r="L62" i="24" s="1"/>
  <c r="H62" i="24"/>
  <c r="I62" i="24" s="1"/>
  <c r="E62" i="24"/>
  <c r="F62" i="24" s="1"/>
  <c r="N61" i="24"/>
  <c r="O61" i="24" s="1"/>
  <c r="K61" i="24"/>
  <c r="L61" i="24" s="1"/>
  <c r="H61" i="24"/>
  <c r="I61" i="24" s="1"/>
  <c r="E61" i="24"/>
  <c r="F61" i="24" s="1"/>
  <c r="O60" i="24"/>
  <c r="N60" i="24"/>
  <c r="K60" i="24"/>
  <c r="L60" i="24" s="1"/>
  <c r="H60" i="24"/>
  <c r="I60" i="24" s="1"/>
  <c r="E60" i="24"/>
  <c r="F60" i="24" s="1"/>
  <c r="N59" i="24"/>
  <c r="O59" i="24" s="1"/>
  <c r="K59" i="24"/>
  <c r="L59" i="24" s="1"/>
  <c r="H59" i="24"/>
  <c r="I59" i="24" s="1"/>
  <c r="E59" i="24"/>
  <c r="F59" i="24" s="1"/>
  <c r="N58" i="24"/>
  <c r="O58" i="24" s="1"/>
  <c r="K58" i="24"/>
  <c r="L58" i="24" s="1"/>
  <c r="I58" i="24"/>
  <c r="H58" i="24"/>
  <c r="E58" i="24"/>
  <c r="F58" i="24" s="1"/>
  <c r="N57" i="24"/>
  <c r="O57" i="24" s="1"/>
  <c r="K57" i="24"/>
  <c r="L57" i="24" s="1"/>
  <c r="H57" i="24"/>
  <c r="I57" i="24" s="1"/>
  <c r="E57" i="24"/>
  <c r="F57" i="24" s="1"/>
  <c r="N56" i="24"/>
  <c r="O56" i="24" s="1"/>
  <c r="K56" i="24"/>
  <c r="L56" i="24" s="1"/>
  <c r="H56" i="24"/>
  <c r="I56" i="24" s="1"/>
  <c r="E56" i="24"/>
  <c r="F56" i="24" s="1"/>
  <c r="N55" i="24"/>
  <c r="O55" i="24" s="1"/>
  <c r="K55" i="24"/>
  <c r="L55" i="24" s="1"/>
  <c r="H55" i="24"/>
  <c r="I55" i="24" s="1"/>
  <c r="E55" i="24"/>
  <c r="F55" i="24" s="1"/>
  <c r="N54" i="24"/>
  <c r="O54" i="24" s="1"/>
  <c r="K54" i="24"/>
  <c r="L54" i="24" s="1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N52" i="24"/>
  <c r="O52" i="24" s="1"/>
  <c r="K52" i="24"/>
  <c r="L52" i="24" s="1"/>
  <c r="H52" i="24"/>
  <c r="I52" i="24" s="1"/>
  <c r="E52" i="24"/>
  <c r="F52" i="24" s="1"/>
  <c r="O51" i="24"/>
  <c r="N51" i="24"/>
  <c r="K51" i="24"/>
  <c r="L51" i="24" s="1"/>
  <c r="H51" i="24"/>
  <c r="I51" i="24" s="1"/>
  <c r="E51" i="24"/>
  <c r="F51" i="24" s="1"/>
  <c r="O50" i="24"/>
  <c r="N50" i="24"/>
  <c r="K50" i="24"/>
  <c r="L50" i="24" s="1"/>
  <c r="H50" i="24"/>
  <c r="I50" i="24" s="1"/>
  <c r="E50" i="24"/>
  <c r="F50" i="24" s="1"/>
  <c r="N49" i="24"/>
  <c r="O49" i="24" s="1"/>
  <c r="K49" i="24"/>
  <c r="L49" i="24" s="1"/>
  <c r="H49" i="24"/>
  <c r="I49" i="24" s="1"/>
  <c r="E49" i="24"/>
  <c r="F49" i="24" s="1"/>
  <c r="N48" i="24"/>
  <c r="O48" i="24" s="1"/>
  <c r="K48" i="24"/>
  <c r="L48" i="24" s="1"/>
  <c r="H48" i="24"/>
  <c r="I48" i="24" s="1"/>
  <c r="E48" i="24"/>
  <c r="F48" i="24" s="1"/>
  <c r="O47" i="24"/>
  <c r="N47" i="24"/>
  <c r="K47" i="24"/>
  <c r="L47" i="24" s="1"/>
  <c r="H47" i="24"/>
  <c r="I47" i="24" s="1"/>
  <c r="E47" i="24"/>
  <c r="F47" i="24" s="1"/>
  <c r="N46" i="24"/>
  <c r="O46" i="24" s="1"/>
  <c r="K46" i="24"/>
  <c r="L46" i="24" s="1"/>
  <c r="H46" i="24"/>
  <c r="I46" i="24" s="1"/>
  <c r="E46" i="24"/>
  <c r="F46" i="24" s="1"/>
  <c r="N45" i="24"/>
  <c r="O45" i="24" s="1"/>
  <c r="K45" i="24"/>
  <c r="L45" i="24" s="1"/>
  <c r="I45" i="24"/>
  <c r="H45" i="24"/>
  <c r="E45" i="24"/>
  <c r="F45" i="24" s="1"/>
  <c r="N44" i="24"/>
  <c r="O44" i="24" s="1"/>
  <c r="K44" i="24"/>
  <c r="L44" i="24" s="1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N21" i="24"/>
  <c r="M21" i="24"/>
  <c r="K21" i="24"/>
  <c r="J21" i="24"/>
  <c r="G21" i="24"/>
  <c r="D21" i="24"/>
  <c r="C21" i="24"/>
  <c r="B21" i="24"/>
  <c r="M20" i="24"/>
  <c r="K20" i="24"/>
  <c r="J20" i="24"/>
  <c r="H20" i="24"/>
  <c r="G20" i="24"/>
  <c r="E20" i="24"/>
  <c r="D20" i="24"/>
  <c r="C20" i="24"/>
  <c r="B20" i="24"/>
  <c r="N19" i="24"/>
  <c r="M19" i="24"/>
  <c r="K19" i="24"/>
  <c r="J19" i="24"/>
  <c r="G19" i="24"/>
  <c r="E19" i="24"/>
  <c r="D19" i="24"/>
  <c r="C19" i="24"/>
  <c r="B19" i="24"/>
  <c r="O18" i="24"/>
  <c r="M18" i="24"/>
  <c r="K18" i="24"/>
  <c r="J18" i="24"/>
  <c r="G18" i="24"/>
  <c r="E18" i="24"/>
  <c r="D18" i="24"/>
  <c r="C18" i="24"/>
  <c r="B18" i="24"/>
  <c r="M17" i="24"/>
  <c r="K17" i="24"/>
  <c r="J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O172" i="38" l="1"/>
  <c r="O27" i="38"/>
  <c r="O26" i="38"/>
  <c r="O91" i="38"/>
  <c r="G11" i="39"/>
  <c r="L37" i="38"/>
  <c r="K37" i="38"/>
  <c r="I172" i="38"/>
  <c r="G3" i="38"/>
  <c r="F37" i="38"/>
  <c r="G7" i="38"/>
  <c r="I37" i="38"/>
  <c r="H37" i="38"/>
  <c r="I172" i="37"/>
  <c r="I31" i="37"/>
  <c r="I37" i="37" s="1"/>
  <c r="G11" i="37" s="1"/>
  <c r="O64" i="36"/>
  <c r="G5" i="36" s="1"/>
  <c r="O91" i="35"/>
  <c r="O24" i="35"/>
  <c r="O64" i="35"/>
  <c r="O17" i="35"/>
  <c r="G11" i="36"/>
  <c r="L91" i="35"/>
  <c r="L24" i="35"/>
  <c r="L37" i="35" s="1"/>
  <c r="H37" i="35"/>
  <c r="I91" i="35"/>
  <c r="I24" i="35"/>
  <c r="I64" i="35"/>
  <c r="G5" i="35" s="1"/>
  <c r="I17" i="35"/>
  <c r="F91" i="35"/>
  <c r="G7" i="35" s="1"/>
  <c r="F24" i="35"/>
  <c r="F37" i="35" s="1"/>
  <c r="O172" i="34"/>
  <c r="O17" i="34"/>
  <c r="O37" i="34" s="1"/>
  <c r="F172" i="34"/>
  <c r="F17" i="34"/>
  <c r="F37" i="34" s="1"/>
  <c r="I172" i="34"/>
  <c r="I17" i="34"/>
  <c r="I37" i="34" s="1"/>
  <c r="G11" i="34" s="1"/>
  <c r="O91" i="33"/>
  <c r="O17" i="33"/>
  <c r="O37" i="33" s="1"/>
  <c r="L91" i="33"/>
  <c r="L17" i="33"/>
  <c r="L37" i="33" s="1"/>
  <c r="I37" i="33"/>
  <c r="I91" i="33"/>
  <c r="F91" i="33"/>
  <c r="F17" i="33"/>
  <c r="F37" i="33" s="1"/>
  <c r="N37" i="32"/>
  <c r="O118" i="32"/>
  <c r="O17" i="32"/>
  <c r="O37" i="32" s="1"/>
  <c r="L118" i="32"/>
  <c r="L17" i="32"/>
  <c r="L37" i="32" s="1"/>
  <c r="I118" i="32"/>
  <c r="I17" i="32"/>
  <c r="H37" i="32"/>
  <c r="I91" i="32"/>
  <c r="G7" i="32" s="1"/>
  <c r="I19" i="32"/>
  <c r="I91" i="6"/>
  <c r="O145" i="6"/>
  <c r="L64" i="6"/>
  <c r="F64" i="6"/>
  <c r="L172" i="31"/>
  <c r="L33" i="31"/>
  <c r="L91" i="31"/>
  <c r="L21" i="31"/>
  <c r="L64" i="31"/>
  <c r="L31" i="31"/>
  <c r="I172" i="31"/>
  <c r="I33" i="31"/>
  <c r="I118" i="31"/>
  <c r="G3" i="31" s="1"/>
  <c r="I17" i="31"/>
  <c r="I64" i="31"/>
  <c r="G5" i="31" s="1"/>
  <c r="I31" i="31"/>
  <c r="F91" i="31"/>
  <c r="F21" i="31"/>
  <c r="F37" i="31" s="1"/>
  <c r="N37" i="30"/>
  <c r="O64" i="30"/>
  <c r="O27" i="30"/>
  <c r="O37" i="30" s="1"/>
  <c r="L91" i="30"/>
  <c r="L21" i="30"/>
  <c r="L64" i="30"/>
  <c r="L27" i="30"/>
  <c r="I118" i="30"/>
  <c r="G3" i="30" s="1"/>
  <c r="I17" i="30"/>
  <c r="I91" i="30"/>
  <c r="I21" i="30"/>
  <c r="I64" i="30"/>
  <c r="G5" i="30" s="1"/>
  <c r="I27" i="30"/>
  <c r="N37" i="29"/>
  <c r="F91" i="30"/>
  <c r="G7" i="30" s="1"/>
  <c r="F21" i="30"/>
  <c r="F37" i="30" s="1"/>
  <c r="O118" i="29"/>
  <c r="O17" i="29"/>
  <c r="O91" i="29"/>
  <c r="G7" i="29" s="1"/>
  <c r="O64" i="29"/>
  <c r="O20" i="29"/>
  <c r="L37" i="29"/>
  <c r="L118" i="29"/>
  <c r="I118" i="29"/>
  <c r="I17" i="29"/>
  <c r="I64" i="29"/>
  <c r="I20" i="29"/>
  <c r="E37" i="29"/>
  <c r="F118" i="29"/>
  <c r="G3" i="29" s="1"/>
  <c r="F17" i="29"/>
  <c r="F64" i="29"/>
  <c r="G5" i="29" s="1"/>
  <c r="F20" i="29"/>
  <c r="O118" i="28"/>
  <c r="O91" i="28"/>
  <c r="O17" i="28"/>
  <c r="O37" i="28" s="1"/>
  <c r="L37" i="28"/>
  <c r="H37" i="28"/>
  <c r="I118" i="28"/>
  <c r="G3" i="28" s="1"/>
  <c r="I37" i="28"/>
  <c r="E37" i="28"/>
  <c r="F91" i="28"/>
  <c r="F17" i="28"/>
  <c r="F64" i="28"/>
  <c r="F27" i="28"/>
  <c r="G9" i="28"/>
  <c r="N172" i="27"/>
  <c r="N19" i="27"/>
  <c r="N37" i="27" s="1"/>
  <c r="N64" i="27"/>
  <c r="N199" i="27"/>
  <c r="O152" i="27"/>
  <c r="N145" i="27"/>
  <c r="N118" i="27"/>
  <c r="O98" i="27"/>
  <c r="N91" i="27"/>
  <c r="O71" i="27"/>
  <c r="O91" i="27" s="1"/>
  <c r="O44" i="27"/>
  <c r="L179" i="27"/>
  <c r="L153" i="27"/>
  <c r="L17" i="27" s="1"/>
  <c r="L166" i="27"/>
  <c r="L20" i="27" s="1"/>
  <c r="K145" i="27"/>
  <c r="K118" i="27"/>
  <c r="L98" i="27"/>
  <c r="K91" i="27"/>
  <c r="K64" i="27"/>
  <c r="L44" i="27"/>
  <c r="I44" i="27"/>
  <c r="O64" i="27"/>
  <c r="I55" i="27"/>
  <c r="I58" i="27"/>
  <c r="I60" i="27"/>
  <c r="F100" i="27"/>
  <c r="I101" i="27"/>
  <c r="F103" i="27"/>
  <c r="I104" i="27"/>
  <c r="F108" i="27"/>
  <c r="I109" i="27"/>
  <c r="F111" i="27"/>
  <c r="I112" i="27"/>
  <c r="F116" i="27"/>
  <c r="I117" i="27"/>
  <c r="I170" i="27"/>
  <c r="F46" i="27"/>
  <c r="F48" i="27"/>
  <c r="I49" i="27"/>
  <c r="F51" i="27"/>
  <c r="F53" i="27"/>
  <c r="I99" i="27"/>
  <c r="F101" i="27"/>
  <c r="I102" i="27"/>
  <c r="F106" i="27"/>
  <c r="I107" i="27"/>
  <c r="F109" i="27"/>
  <c r="F114" i="27"/>
  <c r="I115" i="27"/>
  <c r="F117" i="27"/>
  <c r="I45" i="27"/>
  <c r="F47" i="27"/>
  <c r="F49" i="27"/>
  <c r="F52" i="27"/>
  <c r="I53" i="27"/>
  <c r="F55" i="27"/>
  <c r="F57" i="27"/>
  <c r="F60" i="27"/>
  <c r="I71" i="27"/>
  <c r="F74" i="27"/>
  <c r="I75" i="27"/>
  <c r="F78" i="27"/>
  <c r="I79" i="27"/>
  <c r="F82" i="27"/>
  <c r="I83" i="27"/>
  <c r="F86" i="27"/>
  <c r="I87" i="27"/>
  <c r="F90" i="27"/>
  <c r="O118" i="27"/>
  <c r="F126" i="27"/>
  <c r="I127" i="27"/>
  <c r="F130" i="27"/>
  <c r="I131" i="27"/>
  <c r="F134" i="27"/>
  <c r="I135" i="27"/>
  <c r="I139" i="27"/>
  <c r="F141" i="27"/>
  <c r="F145" i="27" s="1"/>
  <c r="O172" i="27"/>
  <c r="F154" i="27"/>
  <c r="F18" i="27" s="1"/>
  <c r="F156" i="27"/>
  <c r="F19" i="27" s="1"/>
  <c r="I157" i="27"/>
  <c r="I159" i="27"/>
  <c r="F163" i="27"/>
  <c r="F165" i="27"/>
  <c r="I166" i="27"/>
  <c r="I20" i="27" s="1"/>
  <c r="F168" i="27"/>
  <c r="I169" i="27"/>
  <c r="I21" i="27" s="1"/>
  <c r="I171" i="27"/>
  <c r="I181" i="27"/>
  <c r="I183" i="27"/>
  <c r="F185" i="27"/>
  <c r="F187" i="27"/>
  <c r="I190" i="27"/>
  <c r="F194" i="27"/>
  <c r="F196" i="27"/>
  <c r="I197" i="27"/>
  <c r="L91" i="27"/>
  <c r="L118" i="27"/>
  <c r="O145" i="27"/>
  <c r="O199" i="27"/>
  <c r="L64" i="27"/>
  <c r="I46" i="27"/>
  <c r="I48" i="27"/>
  <c r="F50" i="27"/>
  <c r="I51" i="27"/>
  <c r="I56" i="27"/>
  <c r="F58" i="27"/>
  <c r="I59" i="27"/>
  <c r="F71" i="27"/>
  <c r="F91" i="27" s="1"/>
  <c r="F75" i="27"/>
  <c r="I76" i="27"/>
  <c r="F79" i="27"/>
  <c r="I80" i="27"/>
  <c r="F83" i="27"/>
  <c r="I84" i="27"/>
  <c r="I88" i="27"/>
  <c r="F159" i="27"/>
  <c r="F161" i="27"/>
  <c r="I162" i="27"/>
  <c r="I164" i="27"/>
  <c r="F166" i="27"/>
  <c r="F20" i="27" s="1"/>
  <c r="F171" i="27"/>
  <c r="I179" i="27"/>
  <c r="H19" i="27"/>
  <c r="H37" i="27" s="1"/>
  <c r="I152" i="27"/>
  <c r="I125" i="27"/>
  <c r="H118" i="27"/>
  <c r="I118" i="27"/>
  <c r="H91" i="27"/>
  <c r="I72" i="27"/>
  <c r="H64" i="27"/>
  <c r="F179" i="27"/>
  <c r="F152" i="27"/>
  <c r="F98" i="27"/>
  <c r="F44" i="27"/>
  <c r="E37" i="6"/>
  <c r="I37" i="6"/>
  <c r="F37" i="6"/>
  <c r="N37" i="6"/>
  <c r="K37" i="6"/>
  <c r="O37" i="6"/>
  <c r="H37" i="6"/>
  <c r="L37" i="6"/>
  <c r="N19" i="26"/>
  <c r="N64" i="26"/>
  <c r="L172" i="27"/>
  <c r="L145" i="27"/>
  <c r="L199" i="27"/>
  <c r="F118" i="27"/>
  <c r="K37" i="27"/>
  <c r="O37" i="27"/>
  <c r="E37" i="27"/>
  <c r="N199" i="26"/>
  <c r="O179" i="26"/>
  <c r="O199" i="26" s="1"/>
  <c r="N20" i="26"/>
  <c r="O152" i="26"/>
  <c r="N17" i="26"/>
  <c r="O145" i="26"/>
  <c r="N145" i="26"/>
  <c r="N118" i="26"/>
  <c r="O118" i="26"/>
  <c r="O71" i="26"/>
  <c r="O91" i="26" s="1"/>
  <c r="O44" i="26"/>
  <c r="O64" i="26" s="1"/>
  <c r="H21" i="26"/>
  <c r="H18" i="26"/>
  <c r="I125" i="26"/>
  <c r="H172" i="26"/>
  <c r="H118" i="26"/>
  <c r="K199" i="26"/>
  <c r="L179" i="26"/>
  <c r="L199" i="26" s="1"/>
  <c r="L154" i="26"/>
  <c r="L19" i="26" s="1"/>
  <c r="K172" i="26"/>
  <c r="L152" i="26"/>
  <c r="L125" i="26"/>
  <c r="L145" i="26" s="1"/>
  <c r="L118" i="26"/>
  <c r="K118" i="26"/>
  <c r="L91" i="26"/>
  <c r="K91" i="26"/>
  <c r="K64" i="26"/>
  <c r="L64" i="26"/>
  <c r="I179" i="26"/>
  <c r="I199" i="26" s="1"/>
  <c r="I152" i="26"/>
  <c r="I145" i="26"/>
  <c r="I98" i="26"/>
  <c r="I118" i="26" s="1"/>
  <c r="I71" i="26"/>
  <c r="I91" i="26" s="1"/>
  <c r="H64" i="26"/>
  <c r="I44" i="26"/>
  <c r="I64" i="26" s="1"/>
  <c r="F44" i="26"/>
  <c r="F64" i="26" s="1"/>
  <c r="F37" i="23"/>
  <c r="N37" i="23"/>
  <c r="E37" i="23"/>
  <c r="K37" i="23"/>
  <c r="O37" i="23"/>
  <c r="I37" i="23"/>
  <c r="H37" i="23"/>
  <c r="L37" i="23"/>
  <c r="F37" i="26"/>
  <c r="K37" i="26"/>
  <c r="E37" i="26"/>
  <c r="G7" i="26"/>
  <c r="G3" i="26"/>
  <c r="G9" i="26"/>
  <c r="N199" i="25"/>
  <c r="O179" i="25"/>
  <c r="H199" i="25"/>
  <c r="I179" i="25"/>
  <c r="I199" i="25"/>
  <c r="O199" i="25"/>
  <c r="K199" i="25"/>
  <c r="E199" i="25"/>
  <c r="L199" i="25"/>
  <c r="F179" i="25"/>
  <c r="F199" i="25" s="1"/>
  <c r="K20" i="25"/>
  <c r="K37" i="25" s="1"/>
  <c r="K172" i="25"/>
  <c r="L152" i="25"/>
  <c r="H20" i="25"/>
  <c r="H37" i="25" s="1"/>
  <c r="E172" i="25"/>
  <c r="L172" i="25"/>
  <c r="H172" i="25"/>
  <c r="N172" i="25"/>
  <c r="I172" i="25"/>
  <c r="O172" i="25"/>
  <c r="F152" i="25"/>
  <c r="F172" i="25" s="1"/>
  <c r="N145" i="25"/>
  <c r="O125" i="25"/>
  <c r="O145" i="25" s="1"/>
  <c r="K145" i="25"/>
  <c r="L125" i="25"/>
  <c r="L145" i="25" s="1"/>
  <c r="I145" i="25"/>
  <c r="H145" i="25"/>
  <c r="N118" i="25"/>
  <c r="I118" i="25"/>
  <c r="O118" i="25"/>
  <c r="K118" i="25"/>
  <c r="E118" i="25"/>
  <c r="L118" i="25"/>
  <c r="H118" i="25"/>
  <c r="F98" i="25"/>
  <c r="F118" i="25" s="1"/>
  <c r="N91" i="25"/>
  <c r="O71" i="25"/>
  <c r="O91" i="25" s="1"/>
  <c r="G7" i="25" s="1"/>
  <c r="K91" i="25"/>
  <c r="L71" i="25"/>
  <c r="L91" i="25" s="1"/>
  <c r="H91" i="25"/>
  <c r="I71" i="25"/>
  <c r="I91" i="25" s="1"/>
  <c r="O37" i="25"/>
  <c r="K64" i="25"/>
  <c r="N64" i="25"/>
  <c r="E64" i="25"/>
  <c r="L64" i="25"/>
  <c r="H64" i="25"/>
  <c r="I64" i="25"/>
  <c r="O64" i="25"/>
  <c r="F44" i="25"/>
  <c r="F64" i="25" s="1"/>
  <c r="L37" i="25"/>
  <c r="E37" i="25"/>
  <c r="I37" i="25"/>
  <c r="F37" i="25"/>
  <c r="N37" i="25"/>
  <c r="N199" i="24"/>
  <c r="H199" i="24"/>
  <c r="I179" i="24"/>
  <c r="I199" i="24" s="1"/>
  <c r="O199" i="24"/>
  <c r="K199" i="24"/>
  <c r="E199" i="24"/>
  <c r="L199" i="24"/>
  <c r="F179" i="24"/>
  <c r="F199" i="24" s="1"/>
  <c r="H172" i="24"/>
  <c r="N172" i="24"/>
  <c r="K172" i="24"/>
  <c r="I172" i="24"/>
  <c r="O172" i="24"/>
  <c r="E172" i="24"/>
  <c r="L172" i="24"/>
  <c r="F152" i="24"/>
  <c r="F172" i="24" s="1"/>
  <c r="K145" i="24"/>
  <c r="L125" i="24"/>
  <c r="L145" i="24" s="1"/>
  <c r="E145" i="24"/>
  <c r="H145" i="24"/>
  <c r="N145" i="24"/>
  <c r="I145" i="24"/>
  <c r="O145" i="24"/>
  <c r="F125" i="24"/>
  <c r="F145" i="24" s="1"/>
  <c r="O118" i="24"/>
  <c r="K118" i="24"/>
  <c r="L98" i="24"/>
  <c r="L118" i="24" s="1"/>
  <c r="H118" i="24"/>
  <c r="I98" i="24"/>
  <c r="I118" i="24" s="1"/>
  <c r="N118" i="24"/>
  <c r="F98" i="24"/>
  <c r="F118" i="24" s="1"/>
  <c r="O81" i="24"/>
  <c r="O17" i="24" s="1"/>
  <c r="O84" i="24"/>
  <c r="O20" i="24" s="1"/>
  <c r="K91" i="24"/>
  <c r="L71" i="24"/>
  <c r="L91" i="24" s="1"/>
  <c r="I83" i="24"/>
  <c r="I19" i="24" s="1"/>
  <c r="I82" i="24"/>
  <c r="I18" i="24" s="1"/>
  <c r="I81" i="24"/>
  <c r="I17" i="24" s="1"/>
  <c r="I85" i="24"/>
  <c r="I21" i="24" s="1"/>
  <c r="E21" i="24"/>
  <c r="E37" i="24" s="1"/>
  <c r="H91" i="24"/>
  <c r="N91" i="24"/>
  <c r="E91" i="24"/>
  <c r="F91" i="24"/>
  <c r="O64" i="24"/>
  <c r="N64" i="24"/>
  <c r="L64" i="24"/>
  <c r="K64" i="24"/>
  <c r="H64" i="24"/>
  <c r="K37" i="24"/>
  <c r="H37" i="24"/>
  <c r="L37" i="24"/>
  <c r="I44" i="24"/>
  <c r="I64" i="24" s="1"/>
  <c r="F44" i="24"/>
  <c r="F64" i="24" s="1"/>
  <c r="F37" i="24"/>
  <c r="N37" i="24"/>
  <c r="G3" i="24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O37" i="38" l="1"/>
  <c r="G11" i="38"/>
  <c r="G11" i="33"/>
  <c r="O37" i="35"/>
  <c r="I37" i="35"/>
  <c r="G7" i="33"/>
  <c r="G3" i="32"/>
  <c r="I37" i="32"/>
  <c r="G11" i="32" s="1"/>
  <c r="G7" i="31"/>
  <c r="L37" i="31"/>
  <c r="I37" i="31"/>
  <c r="G11" i="31" s="1"/>
  <c r="L37" i="30"/>
  <c r="I37" i="30"/>
  <c r="G11" i="30"/>
  <c r="O37" i="29"/>
  <c r="I37" i="29"/>
  <c r="F37" i="29"/>
  <c r="F37" i="28"/>
  <c r="G11" i="28" s="1"/>
  <c r="G7" i="28"/>
  <c r="G5" i="28"/>
  <c r="L37" i="27"/>
  <c r="F37" i="27"/>
  <c r="F172" i="27"/>
  <c r="I172" i="27"/>
  <c r="I64" i="27"/>
  <c r="G5" i="27" s="1"/>
  <c r="I37" i="27"/>
  <c r="F199" i="27"/>
  <c r="G3" i="27"/>
  <c r="F64" i="27"/>
  <c r="I199" i="27"/>
  <c r="G9" i="27" s="1"/>
  <c r="I91" i="27"/>
  <c r="G7" i="27" s="1"/>
  <c r="I145" i="27"/>
  <c r="N37" i="26"/>
  <c r="O172" i="26"/>
  <c r="O17" i="26"/>
  <c r="O37" i="26" s="1"/>
  <c r="H37" i="26"/>
  <c r="L172" i="26"/>
  <c r="L17" i="26"/>
  <c r="L37" i="26" s="1"/>
  <c r="I172" i="26"/>
  <c r="I17" i="26"/>
  <c r="I37" i="26" s="1"/>
  <c r="G5" i="26"/>
  <c r="G11" i="23"/>
  <c r="G9" i="25"/>
  <c r="G3" i="25"/>
  <c r="G5" i="25"/>
  <c r="G11" i="25"/>
  <c r="G9" i="24"/>
  <c r="O91" i="24"/>
  <c r="O37" i="24"/>
  <c r="I37" i="24"/>
  <c r="I91" i="24"/>
  <c r="G5" i="24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11" i="35" l="1"/>
  <c r="G11" i="29"/>
  <c r="G11" i="27"/>
  <c r="G11" i="26"/>
  <c r="G11" i="24"/>
  <c r="G7" i="24"/>
  <c r="G9" i="6"/>
  <c r="G11" i="6"/>
  <c r="G5" i="6" l="1"/>
  <c r="K255" i="9"/>
  <c r="N266" i="9"/>
  <c r="F156" i="9"/>
  <c r="K221" i="9"/>
  <c r="L236" i="9"/>
  <c r="G41" i="3"/>
  <c r="K18" i="3"/>
  <c r="F185" i="9"/>
  <c r="K19" i="5"/>
  <c r="I254" i="9"/>
  <c r="C24" i="9"/>
  <c r="E157" i="9"/>
  <c r="H278" i="9"/>
  <c r="N152" i="9"/>
  <c r="E45" i="9"/>
  <c r="K278" i="9"/>
  <c r="C77" i="9"/>
  <c r="E104" i="9"/>
  <c r="E274" i="9"/>
  <c r="O32" i="3"/>
  <c r="I212" i="9"/>
  <c r="N202" i="9"/>
  <c r="I219" i="9"/>
  <c r="K49" i="3"/>
  <c r="E161" i="9"/>
  <c r="I185" i="9"/>
  <c r="E146" i="9"/>
  <c r="F154" i="9"/>
  <c r="I276" i="9"/>
  <c r="I250" i="9"/>
  <c r="K60" i="3"/>
  <c r="I261" i="9"/>
  <c r="E115" i="9"/>
  <c r="O176" i="9"/>
  <c r="L142" i="9"/>
  <c r="E35" i="9"/>
  <c r="O37" i="9"/>
  <c r="C220" i="9"/>
  <c r="O125" i="9"/>
  <c r="I118" i="9"/>
  <c r="G74" i="3"/>
  <c r="L185" i="9"/>
  <c r="N253" i="9"/>
  <c r="L38" i="9"/>
  <c r="K72" i="9"/>
  <c r="F65" i="9"/>
  <c r="L263" i="9"/>
  <c r="K105" i="9"/>
  <c r="N46" i="9"/>
  <c r="I110" i="9"/>
  <c r="C223" i="9"/>
  <c r="N250" i="9"/>
  <c r="L266" i="9"/>
  <c r="H192" i="9"/>
  <c r="C82" i="9"/>
  <c r="K12" i="5"/>
  <c r="E150" i="9"/>
  <c r="O99" i="9"/>
  <c r="O56" i="3"/>
  <c r="N140" i="9"/>
  <c r="E202" i="9"/>
  <c r="E147" i="9"/>
  <c r="O63" i="3"/>
  <c r="O71" i="9"/>
  <c r="H74" i="9"/>
  <c r="O231" i="9"/>
  <c r="K61" i="9"/>
  <c r="N235" i="9"/>
  <c r="F229" i="9"/>
  <c r="K21" i="5"/>
  <c r="K110" i="9"/>
  <c r="H239" i="9"/>
  <c r="C61" i="9"/>
  <c r="L154" i="9"/>
  <c r="I87" i="9"/>
  <c r="O158" i="9"/>
  <c r="K70" i="3"/>
  <c r="N236" i="9"/>
  <c r="E51" i="9"/>
  <c r="G37" i="3"/>
  <c r="O184" i="9"/>
  <c r="L159" i="9"/>
  <c r="N43" i="9"/>
  <c r="C267" i="9"/>
  <c r="N45" i="9"/>
  <c r="G31" i="3"/>
  <c r="N48" i="9"/>
  <c r="E123" i="9"/>
  <c r="G73" i="3"/>
  <c r="K113" i="9"/>
  <c r="F157" i="9"/>
  <c r="N33" i="9"/>
  <c r="E44" i="9"/>
  <c r="G64" i="3"/>
  <c r="O189" i="9"/>
  <c r="K274" i="9"/>
  <c r="F119" i="9"/>
  <c r="E33" i="9"/>
  <c r="H48" i="9"/>
  <c r="L112" i="9"/>
  <c r="F236" i="9"/>
  <c r="C154" i="9"/>
  <c r="F203" i="9"/>
  <c r="K215" i="9"/>
  <c r="N103" i="9"/>
  <c r="O269" i="9"/>
  <c r="I127" i="9"/>
  <c r="O191" i="9"/>
  <c r="H148" i="9"/>
  <c r="C42" i="9"/>
  <c r="G32" i="3"/>
  <c r="C202" i="9"/>
  <c r="E220" i="9"/>
  <c r="C162" i="9"/>
  <c r="O202" i="9"/>
  <c r="H30" i="9"/>
  <c r="F47" i="9"/>
  <c r="H269" i="9"/>
  <c r="I280" i="9"/>
  <c r="L162" i="9"/>
  <c r="O24" i="9"/>
  <c r="H218" i="9"/>
  <c r="H122" i="9"/>
  <c r="O229" i="9"/>
  <c r="C78" i="9"/>
  <c r="F199" i="9"/>
  <c r="N61" i="9"/>
  <c r="H85" i="9"/>
  <c r="K125" i="9"/>
  <c r="C52" i="9"/>
  <c r="C136" i="9"/>
  <c r="I65" i="9"/>
  <c r="E262" i="9"/>
  <c r="L198" i="9"/>
  <c r="N87" i="9"/>
  <c r="F85" i="9"/>
  <c r="E73" i="9"/>
  <c r="H75" i="9"/>
  <c r="E37" i="9"/>
  <c r="N126" i="9"/>
  <c r="C140" i="9"/>
  <c r="L175" i="9"/>
  <c r="O76" i="9"/>
  <c r="O35" i="3"/>
  <c r="I228" i="9"/>
  <c r="I36" i="9"/>
  <c r="L153" i="9"/>
  <c r="F125" i="9"/>
  <c r="C224" i="9"/>
  <c r="N78" i="9"/>
  <c r="O274" i="9"/>
  <c r="I221" i="9"/>
  <c r="O79" i="9"/>
  <c r="L39" i="9"/>
  <c r="I138" i="9"/>
  <c r="N28" i="9"/>
  <c r="F48" i="9"/>
  <c r="F216" i="9"/>
  <c r="C151" i="9"/>
  <c r="K37" i="3"/>
  <c r="C261" i="9"/>
  <c r="L239" i="9"/>
  <c r="N229" i="9"/>
  <c r="E204" i="9"/>
  <c r="H103" i="9"/>
  <c r="E70" i="9"/>
  <c r="O193" i="9"/>
  <c r="K86" i="9"/>
  <c r="K119" i="9"/>
  <c r="K178" i="9"/>
  <c r="N212" i="9"/>
  <c r="E221" i="9"/>
  <c r="E121" i="9"/>
  <c r="H120" i="9"/>
  <c r="F64" i="9"/>
  <c r="E60" i="9"/>
  <c r="I270" i="9"/>
  <c r="N107" i="9"/>
  <c r="C98" i="9"/>
  <c r="H117" i="9"/>
  <c r="O162" i="9"/>
  <c r="I161" i="9"/>
  <c r="H27" i="9"/>
  <c r="E47" i="9"/>
  <c r="C141" i="9"/>
  <c r="E198" i="9"/>
  <c r="L23" i="9"/>
  <c r="I251" i="9"/>
  <c r="N192" i="9"/>
  <c r="K264" i="9"/>
  <c r="O145" i="9"/>
  <c r="K87" i="9"/>
  <c r="O201" i="9"/>
  <c r="N277" i="9"/>
  <c r="E159" i="9"/>
  <c r="C121" i="9"/>
  <c r="L223" i="9"/>
  <c r="K236" i="9"/>
  <c r="I73" i="9"/>
  <c r="H238" i="9"/>
  <c r="O260" i="9"/>
  <c r="I234" i="9"/>
  <c r="C144" i="9"/>
  <c r="H232" i="9"/>
  <c r="L77" i="9"/>
  <c r="K202" i="9"/>
  <c r="L191" i="9"/>
  <c r="K6" i="5"/>
  <c r="H151" i="9"/>
  <c r="N178" i="9"/>
  <c r="F192" i="9"/>
  <c r="C201" i="9"/>
  <c r="H145" i="9"/>
  <c r="F166" i="9"/>
  <c r="K38" i="9"/>
  <c r="N113" i="9"/>
  <c r="N221" i="9"/>
  <c r="K13" i="3"/>
  <c r="I124" i="9"/>
  <c r="K14" i="5"/>
  <c r="I256" i="9"/>
  <c r="K242" i="9"/>
  <c r="E87" i="9"/>
  <c r="H29" i="9"/>
  <c r="C27" i="9"/>
  <c r="H270" i="9"/>
  <c r="F118" i="9"/>
  <c r="E105" i="9"/>
  <c r="E271" i="9"/>
  <c r="I273" i="9"/>
  <c r="O28" i="9"/>
  <c r="I150" i="9"/>
  <c r="E143" i="9"/>
  <c r="O71" i="3"/>
  <c r="O140" i="9"/>
  <c r="I111" i="9"/>
  <c r="O216" i="9"/>
  <c r="E77" i="9"/>
  <c r="C39" i="9"/>
  <c r="N83" i="9"/>
  <c r="L257" i="9"/>
  <c r="I224" i="9"/>
  <c r="E215" i="9"/>
  <c r="I196" i="9"/>
  <c r="N62" i="9"/>
  <c r="E82" i="9"/>
  <c r="C280" i="9"/>
  <c r="N263" i="9"/>
  <c r="C159" i="9"/>
  <c r="E191" i="9"/>
  <c r="K137" i="9"/>
  <c r="O138" i="9"/>
  <c r="O196" i="9"/>
  <c r="I117" i="9"/>
  <c r="N73" i="9"/>
  <c r="K183" i="9"/>
  <c r="N31" i="9"/>
  <c r="L63" i="9"/>
  <c r="K76" i="9"/>
  <c r="L279" i="9"/>
  <c r="H266" i="9"/>
  <c r="I41" i="9"/>
  <c r="H179" i="9"/>
  <c r="H201" i="9"/>
  <c r="C229" i="9"/>
  <c r="E218" i="9"/>
  <c r="N79" i="9"/>
  <c r="I142" i="9"/>
  <c r="L78" i="9"/>
  <c r="F180" i="9"/>
  <c r="F220" i="9"/>
  <c r="L144" i="9"/>
  <c r="C239" i="9"/>
  <c r="K186" i="9"/>
  <c r="L27" i="9"/>
  <c r="H22" i="9"/>
  <c r="O198" i="9"/>
  <c r="K111" i="9"/>
  <c r="C90" i="9"/>
  <c r="I48" i="9"/>
  <c r="C87" i="9"/>
  <c r="K136" i="9"/>
  <c r="I227" i="9"/>
  <c r="K37" i="9"/>
  <c r="E118" i="9"/>
  <c r="O126" i="9"/>
  <c r="N164" i="9"/>
  <c r="H44" i="9"/>
  <c r="E257" i="9"/>
  <c r="E149" i="9"/>
  <c r="O177" i="9"/>
  <c r="L212" i="9"/>
  <c r="L35" i="9"/>
  <c r="O60" i="3"/>
  <c r="E140" i="9"/>
  <c r="O61" i="9"/>
  <c r="F176" i="9"/>
  <c r="N114" i="9"/>
  <c r="O78" i="9"/>
  <c r="K269" i="9"/>
  <c r="L117" i="9"/>
  <c r="C181" i="9"/>
  <c r="L61" i="9"/>
  <c r="L232" i="9"/>
  <c r="F179" i="9"/>
  <c r="K127" i="9"/>
  <c r="L241" i="9"/>
  <c r="C198" i="9"/>
  <c r="L69" i="9"/>
  <c r="L86" i="9"/>
  <c r="K18" i="5"/>
  <c r="K35" i="3"/>
  <c r="I166" i="9"/>
  <c r="N104" i="9"/>
  <c r="C176" i="9"/>
  <c r="H241" i="9"/>
  <c r="O251" i="9"/>
  <c r="E62" i="9"/>
  <c r="O75" i="3"/>
  <c r="C259" i="9"/>
  <c r="F37" i="9"/>
  <c r="N150" i="9"/>
  <c r="I24" i="9"/>
  <c r="F241" i="9"/>
  <c r="C110" i="9"/>
  <c r="H224" i="9"/>
  <c r="F111" i="9"/>
  <c r="K10" i="5"/>
  <c r="F86" i="9"/>
  <c r="K275" i="9"/>
  <c r="G43" i="3"/>
  <c r="C31" i="9"/>
  <c r="H40" i="9"/>
  <c r="C40" i="9"/>
  <c r="N85" i="9"/>
  <c r="K224" i="9"/>
  <c r="K151" i="9"/>
  <c r="F276" i="9"/>
  <c r="C203" i="9"/>
  <c r="N34" i="9"/>
  <c r="F106" i="9"/>
  <c r="O181" i="9"/>
  <c r="N224" i="9"/>
  <c r="O42" i="3"/>
  <c r="K117" i="9"/>
  <c r="N217" i="9"/>
  <c r="I63" i="9"/>
  <c r="E232" i="9"/>
  <c r="E199" i="9"/>
  <c r="C279" i="9"/>
  <c r="E234" i="9"/>
  <c r="H80" i="9"/>
  <c r="N76" i="9"/>
  <c r="K65" i="3"/>
  <c r="H86" i="9"/>
  <c r="C232" i="9"/>
  <c r="N108" i="9"/>
  <c r="C237" i="9"/>
  <c r="L276" i="9"/>
  <c r="K106" i="9"/>
  <c r="I43" i="9"/>
  <c r="O200" i="9"/>
  <c r="C37" i="9"/>
  <c r="N102" i="9"/>
  <c r="H196" i="9"/>
  <c r="F71" i="9"/>
  <c r="H276" i="9"/>
  <c r="C81" i="9"/>
  <c r="E100" i="9"/>
  <c r="N68" i="9"/>
  <c r="O98" i="9"/>
  <c r="K25" i="9"/>
  <c r="N227" i="9"/>
  <c r="G39" i="3"/>
  <c r="L89" i="9"/>
  <c r="E212" i="9"/>
  <c r="F87" i="9"/>
  <c r="K192" i="9"/>
  <c r="H229" i="9"/>
  <c r="C69" i="9"/>
  <c r="K41" i="9"/>
  <c r="H194" i="9"/>
  <c r="K180" i="9"/>
  <c r="E195" i="9"/>
  <c r="O103" i="9"/>
  <c r="C35" i="9"/>
  <c r="N163" i="9"/>
  <c r="I153" i="9"/>
  <c r="C222" i="9"/>
  <c r="C51" i="9"/>
  <c r="H45" i="9"/>
  <c r="O232" i="9"/>
  <c r="E90" i="9"/>
  <c r="N81" i="9"/>
  <c r="E189" i="9"/>
  <c r="E224" i="9"/>
  <c r="N120" i="9"/>
  <c r="O234" i="9"/>
  <c r="F30" i="9"/>
  <c r="K42" i="3"/>
  <c r="C157" i="9"/>
  <c r="O271" i="9"/>
  <c r="H82" i="9"/>
  <c r="F226" i="9"/>
  <c r="H39" i="9"/>
  <c r="E181" i="9"/>
  <c r="F232" i="9"/>
  <c r="E241" i="9"/>
  <c r="L138" i="9"/>
  <c r="L52" i="9"/>
  <c r="E153" i="9"/>
  <c r="F139" i="9"/>
  <c r="H142" i="9"/>
  <c r="E155" i="9"/>
  <c r="E239" i="9"/>
  <c r="O50" i="9"/>
  <c r="H50" i="9"/>
  <c r="I67" i="9"/>
  <c r="I34" i="9"/>
  <c r="F198" i="9"/>
  <c r="I47" i="9"/>
  <c r="C199" i="9"/>
  <c r="K48" i="3"/>
  <c r="H221" i="9"/>
  <c r="N80" i="9"/>
  <c r="K265" i="9"/>
  <c r="L254" i="9"/>
  <c r="I165" i="9"/>
  <c r="N64" i="9"/>
  <c r="H164" i="9"/>
  <c r="F50" i="9"/>
  <c r="K268" i="9"/>
  <c r="N216" i="9"/>
  <c r="L111" i="9"/>
  <c r="I188" i="9"/>
  <c r="O240" i="9"/>
  <c r="E29" i="9"/>
  <c r="C263" i="9"/>
  <c r="I52" i="9"/>
  <c r="K148" i="9"/>
  <c r="H78" i="9"/>
  <c r="K226" i="9"/>
  <c r="F107" i="9"/>
  <c r="E193" i="9"/>
  <c r="I103" i="9"/>
  <c r="I152" i="9"/>
  <c r="O43" i="9"/>
  <c r="H107" i="9"/>
  <c r="L158" i="9"/>
  <c r="K270" i="9"/>
  <c r="H186" i="9"/>
  <c r="C252" i="9"/>
  <c r="F240" i="9"/>
  <c r="F155" i="9"/>
  <c r="K42" i="9"/>
  <c r="E61" i="9"/>
  <c r="I139" i="9"/>
  <c r="O151" i="9"/>
  <c r="L65" i="9"/>
  <c r="N264" i="9"/>
  <c r="L140" i="9"/>
  <c r="K69" i="9"/>
  <c r="K185" i="9"/>
  <c r="C36" i="9"/>
  <c r="I42" i="9"/>
  <c r="L103" i="9"/>
  <c r="I252" i="9"/>
  <c r="N251" i="9"/>
  <c r="C204" i="9"/>
  <c r="O108" i="9"/>
  <c r="L160" i="9"/>
  <c r="O35" i="9"/>
  <c r="E108" i="9"/>
  <c r="I147" i="9"/>
  <c r="H225" i="9"/>
  <c r="I277" i="9"/>
  <c r="E101" i="9"/>
  <c r="N41" i="9"/>
  <c r="K29" i="9"/>
  <c r="L41" i="9"/>
  <c r="I146" i="9"/>
  <c r="K63" i="3"/>
  <c r="K73" i="3"/>
  <c r="H157" i="9"/>
  <c r="L189" i="9"/>
  <c r="O77" i="9"/>
  <c r="C276" i="9"/>
  <c r="H180" i="9"/>
  <c r="F120" i="9"/>
  <c r="E65" i="9"/>
  <c r="O256" i="9"/>
  <c r="L200" i="9"/>
  <c r="H204" i="9"/>
  <c r="L238" i="9"/>
  <c r="O204" i="9"/>
  <c r="H23" i="9"/>
  <c r="K67" i="3"/>
  <c r="O113" i="9"/>
  <c r="F174" i="9"/>
  <c r="N187" i="9"/>
  <c r="L269" i="9"/>
  <c r="N218" i="9"/>
  <c r="I50" i="9"/>
  <c r="H195" i="9"/>
  <c r="H105" i="9"/>
  <c r="E279" i="9"/>
  <c r="L260" i="9"/>
  <c r="I159" i="9"/>
  <c r="K58" i="3"/>
  <c r="I77" i="9"/>
  <c r="E251" i="9"/>
  <c r="H217" i="9"/>
  <c r="L151" i="9"/>
  <c r="L218" i="9"/>
  <c r="N219" i="9"/>
  <c r="F82" i="9"/>
  <c r="E151" i="9"/>
  <c r="C80" i="9"/>
  <c r="O115" i="9"/>
  <c r="L67" i="9"/>
  <c r="F41" i="9"/>
  <c r="N139" i="9"/>
  <c r="O39" i="3"/>
  <c r="K20" i="5"/>
  <c r="K266" i="9"/>
  <c r="K68" i="3"/>
  <c r="F262" i="9"/>
  <c r="K11" i="5"/>
  <c r="C48" i="9"/>
  <c r="E190" i="9"/>
  <c r="K201" i="9"/>
  <c r="E68" i="9"/>
  <c r="H256" i="9"/>
  <c r="F184" i="9"/>
  <c r="I136" i="9"/>
  <c r="C101" i="9"/>
  <c r="I149" i="9"/>
  <c r="N122" i="9"/>
  <c r="O86" i="9"/>
  <c r="C258" i="9"/>
  <c r="O192" i="9"/>
  <c r="K190" i="9"/>
  <c r="O47" i="3"/>
  <c r="E180" i="9"/>
  <c r="K144" i="9"/>
  <c r="K143" i="9"/>
  <c r="N121" i="9"/>
  <c r="C139" i="9"/>
  <c r="N60" i="9"/>
  <c r="O242" i="9"/>
  <c r="H123" i="9"/>
  <c r="N149" i="9"/>
  <c r="E213" i="9"/>
  <c r="N49" i="9"/>
  <c r="I32" i="9"/>
  <c r="N180" i="9"/>
  <c r="K263" i="9"/>
  <c r="K188" i="9"/>
  <c r="O127" i="9"/>
  <c r="N278" i="9"/>
  <c r="I272" i="9"/>
  <c r="L192" i="9"/>
  <c r="H34" i="9"/>
  <c r="F147" i="9"/>
  <c r="K140" i="9"/>
  <c r="I162" i="9"/>
  <c r="F102" i="9"/>
  <c r="F34" i="9"/>
  <c r="L40" i="9"/>
  <c r="L87" i="9"/>
  <c r="F63" i="9"/>
  <c r="F60" i="9"/>
  <c r="K74" i="9"/>
  <c r="F178" i="9"/>
  <c r="K107" i="9"/>
  <c r="F62" i="9"/>
  <c r="F43" i="9"/>
  <c r="F274" i="9"/>
  <c r="H161" i="9"/>
  <c r="C231" i="9"/>
  <c r="K64" i="3"/>
  <c r="I76" i="9"/>
  <c r="C225" i="9"/>
  <c r="L150" i="9"/>
  <c r="K200" i="9"/>
  <c r="L136" i="9"/>
  <c r="F196" i="9"/>
  <c r="I80" i="9"/>
  <c r="O252" i="9"/>
  <c r="E139" i="9"/>
  <c r="F260" i="9"/>
  <c r="H156" i="9"/>
  <c r="L216" i="9"/>
  <c r="L109" i="9"/>
  <c r="H47" i="9"/>
  <c r="K176" i="9"/>
  <c r="K272" i="9"/>
  <c r="L177" i="9"/>
  <c r="I30" i="9"/>
  <c r="I202" i="9"/>
  <c r="K23" i="9"/>
  <c r="L46" i="9"/>
  <c r="E71" i="9"/>
  <c r="L29" i="9"/>
  <c r="O114" i="9"/>
  <c r="L155" i="9"/>
  <c r="K31" i="3"/>
  <c r="G42" i="3"/>
  <c r="C106" i="9"/>
  <c r="N47" i="9"/>
  <c r="I66" i="9"/>
  <c r="N77" i="9"/>
  <c r="I35" i="9"/>
  <c r="I98" i="9"/>
  <c r="C102" i="9"/>
  <c r="N22" i="9"/>
  <c r="L79" i="9"/>
  <c r="N175" i="9"/>
  <c r="N36" i="9"/>
  <c r="N157" i="9"/>
  <c r="H159" i="9"/>
  <c r="L24" i="9"/>
  <c r="F142" i="9"/>
  <c r="O112" i="9"/>
  <c r="C257" i="9"/>
  <c r="C104" i="9"/>
  <c r="O84" i="9"/>
  <c r="K66" i="3"/>
  <c r="I253" i="9"/>
  <c r="I258" i="9"/>
  <c r="N25" i="9"/>
  <c r="O64" i="9"/>
  <c r="E120" i="9"/>
  <c r="C278" i="9"/>
  <c r="H28" i="9"/>
  <c r="E102" i="9"/>
  <c r="E237" i="9"/>
  <c r="K139" i="9"/>
  <c r="K46" i="3"/>
  <c r="K45" i="9"/>
  <c r="K19" i="3"/>
  <c r="L114" i="9"/>
  <c r="K73" i="9"/>
  <c r="E238" i="9"/>
  <c r="K72" i="3"/>
  <c r="F68" i="9"/>
  <c r="E216" i="9"/>
  <c r="K61" i="3"/>
  <c r="L123" i="9"/>
  <c r="O36" i="3"/>
  <c r="K75" i="9"/>
  <c r="H200" i="9"/>
  <c r="O41" i="3"/>
  <c r="K90" i="9"/>
  <c r="I112" i="9"/>
  <c r="G67" i="3"/>
  <c r="H182" i="9"/>
  <c r="N174" i="9"/>
  <c r="K252" i="9"/>
  <c r="L73" i="9"/>
  <c r="I231" i="9"/>
  <c r="K128" i="9"/>
  <c r="N63" i="9"/>
  <c r="L264" i="9"/>
  <c r="I271" i="9"/>
  <c r="N193" i="9"/>
  <c r="I214" i="9"/>
  <c r="E41" i="9"/>
  <c r="E48" i="9"/>
  <c r="L220" i="9"/>
  <c r="K182" i="9"/>
  <c r="K34" i="9"/>
  <c r="K102" i="9"/>
  <c r="H253" i="9"/>
  <c r="O70" i="3"/>
  <c r="K233" i="9"/>
  <c r="C195" i="9"/>
  <c r="N268" i="9"/>
  <c r="F28" i="9"/>
  <c r="I37" i="9"/>
  <c r="K7" i="5"/>
  <c r="O33" i="9"/>
  <c r="K220" i="9"/>
  <c r="O26" i="9"/>
  <c r="O51" i="9"/>
  <c r="F105" i="9"/>
  <c r="L174" i="9"/>
  <c r="O175" i="9"/>
  <c r="L275" i="9"/>
  <c r="C112" i="9"/>
  <c r="L143" i="9"/>
  <c r="C128" i="9"/>
  <c r="L176" i="9"/>
  <c r="K98" i="9"/>
  <c r="L250" i="9"/>
  <c r="L274" i="9"/>
  <c r="I189" i="9"/>
  <c r="H125" i="9"/>
  <c r="O219" i="9"/>
  <c r="O102" i="9"/>
  <c r="I226" i="9"/>
  <c r="L259" i="9"/>
  <c r="N136" i="9"/>
  <c r="N118" i="9"/>
  <c r="H203" i="9"/>
  <c r="K150" i="9"/>
  <c r="O213" i="9"/>
  <c r="N272" i="9"/>
  <c r="E103" i="9"/>
  <c r="N144" i="9"/>
  <c r="I75" i="9"/>
  <c r="K20" i="3"/>
  <c r="C119" i="9"/>
  <c r="O190" i="9"/>
  <c r="O48" i="3"/>
  <c r="L80" i="9"/>
  <c r="O165" i="9"/>
  <c r="O63" i="9"/>
  <c r="E27" i="9"/>
  <c r="F75" i="9"/>
  <c r="F108" i="9"/>
  <c r="O199" i="9"/>
  <c r="L47" i="9"/>
  <c r="N200" i="9"/>
  <c r="O48" i="9"/>
  <c r="L195" i="9"/>
  <c r="N184" i="9"/>
  <c r="L261" i="9"/>
  <c r="I104" i="9"/>
  <c r="I109" i="9"/>
  <c r="C194" i="9"/>
  <c r="O124" i="9"/>
  <c r="K36" i="9"/>
  <c r="H114" i="9"/>
  <c r="I107" i="9"/>
  <c r="L219" i="9"/>
  <c r="F69" i="9"/>
  <c r="C187" i="9"/>
  <c r="K251" i="9"/>
  <c r="F90" i="9"/>
  <c r="K24" i="9"/>
  <c r="F101" i="9"/>
  <c r="E184" i="9"/>
  <c r="K74" i="3"/>
  <c r="O42" i="9"/>
  <c r="H265" i="9"/>
  <c r="E250" i="9"/>
  <c r="N127" i="9"/>
  <c r="C192" i="9"/>
  <c r="N42" i="9"/>
  <c r="E136" i="9"/>
  <c r="F222" i="9"/>
  <c r="C88" i="9"/>
  <c r="I99" i="9"/>
  <c r="O33" i="3"/>
  <c r="H175" i="9"/>
  <c r="F272" i="9"/>
  <c r="L60" i="9"/>
  <c r="N213" i="9"/>
  <c r="C166" i="9"/>
  <c r="I114" i="9"/>
  <c r="L149" i="9"/>
  <c r="I204" i="9"/>
  <c r="I121" i="9"/>
  <c r="F193" i="9"/>
  <c r="G61" i="3"/>
  <c r="G75" i="3"/>
  <c r="F175" i="9"/>
  <c r="H261" i="9"/>
  <c r="N265" i="9"/>
  <c r="O34" i="9"/>
  <c r="G44" i="3"/>
  <c r="K229" i="9"/>
  <c r="C148" i="9"/>
  <c r="K118" i="9"/>
  <c r="O43" i="3"/>
  <c r="G69" i="3"/>
  <c r="N259" i="9"/>
  <c r="E194" i="9"/>
  <c r="O241" i="9"/>
  <c r="H160" i="9"/>
  <c r="K69" i="3"/>
  <c r="F279" i="9"/>
  <c r="H274" i="9"/>
  <c r="F161" i="9"/>
  <c r="K51" i="9"/>
  <c r="H149" i="9"/>
  <c r="K17" i="3"/>
  <c r="N190" i="9"/>
  <c r="F269" i="9"/>
  <c r="C85" i="9"/>
  <c r="H136" i="9"/>
  <c r="F223" i="9"/>
  <c r="H231" i="9"/>
  <c r="H219" i="9"/>
  <c r="C175" i="9"/>
  <c r="K62" i="9"/>
  <c r="N179" i="9"/>
  <c r="L258" i="9"/>
  <c r="I278" i="9"/>
  <c r="F128" i="9"/>
  <c r="L64" i="9"/>
  <c r="I120" i="9"/>
  <c r="E31" i="9"/>
  <c r="H233" i="9"/>
  <c r="F66" i="9"/>
  <c r="F35" i="9"/>
  <c r="K258" i="9"/>
  <c r="I264" i="9"/>
  <c r="L33" i="9"/>
  <c r="C32" i="9"/>
  <c r="I201" i="9"/>
  <c r="N50" i="9"/>
  <c r="H212" i="9"/>
  <c r="I145" i="9"/>
  <c r="C122" i="9"/>
  <c r="C226" i="9"/>
  <c r="O66" i="3"/>
  <c r="K65" i="9"/>
  <c r="C254" i="9"/>
  <c r="K237" i="9"/>
  <c r="N237" i="9"/>
  <c r="C174" i="9"/>
  <c r="I240" i="9"/>
  <c r="K25" i="3"/>
  <c r="K88" i="9"/>
  <c r="C196" i="9"/>
  <c r="N29" i="9"/>
  <c r="C270" i="9"/>
  <c r="O214" i="9"/>
  <c r="C126" i="9"/>
  <c r="K257" i="9"/>
  <c r="N82" i="9"/>
  <c r="F258" i="9"/>
  <c r="N155" i="9"/>
  <c r="N271" i="9"/>
  <c r="F88" i="9"/>
  <c r="K62" i="3"/>
  <c r="H33" i="9"/>
  <c r="E114" i="9"/>
  <c r="O156" i="9"/>
  <c r="N148" i="9"/>
  <c r="F127" i="9"/>
  <c r="H124" i="9"/>
  <c r="F235" i="9"/>
  <c r="F99" i="9"/>
  <c r="E138" i="9"/>
  <c r="F213" i="9"/>
  <c r="O146" i="9"/>
  <c r="C230" i="9"/>
  <c r="H113" i="9"/>
  <c r="F103" i="9"/>
  <c r="H83" i="9"/>
  <c r="O67" i="9"/>
  <c r="K31" i="9"/>
  <c r="C50" i="9"/>
  <c r="N86" i="9"/>
  <c r="H139" i="9"/>
  <c r="C275" i="9"/>
  <c r="K149" i="9"/>
  <c r="O89" i="9"/>
  <c r="N181" i="9"/>
  <c r="N215" i="9"/>
  <c r="I230" i="9"/>
  <c r="C182" i="9"/>
  <c r="I198" i="9"/>
  <c r="N89" i="9"/>
  <c r="H163" i="9"/>
  <c r="K23" i="3"/>
  <c r="N156" i="9"/>
  <c r="K228" i="9"/>
  <c r="H235" i="9"/>
  <c r="N182" i="9"/>
  <c r="F137" i="9"/>
  <c r="O58" i="3"/>
  <c r="C89" i="9"/>
  <c r="K256" i="9"/>
  <c r="H189" i="9"/>
  <c r="I82" i="9"/>
  <c r="F270" i="9"/>
  <c r="K15" i="3"/>
  <c r="E98" i="9"/>
  <c r="H43" i="9"/>
  <c r="O227" i="9"/>
  <c r="H154" i="9"/>
  <c r="O255" i="9"/>
  <c r="H258" i="9"/>
  <c r="K49" i="9"/>
  <c r="H254" i="9"/>
  <c r="N256" i="9"/>
  <c r="F227" i="9"/>
  <c r="K120" i="9"/>
  <c r="K112" i="9"/>
  <c r="L115" i="9"/>
  <c r="O59" i="3"/>
  <c r="K64" i="9"/>
  <c r="H155" i="9"/>
  <c r="E272" i="9"/>
  <c r="K41" i="3"/>
  <c r="L128" i="9"/>
  <c r="O218" i="9"/>
  <c r="K44" i="9"/>
  <c r="O187" i="9"/>
  <c r="N238" i="9"/>
  <c r="O161" i="9"/>
  <c r="F151" i="9"/>
  <c r="E182" i="9"/>
  <c r="G40" i="3"/>
  <c r="O62" i="9"/>
  <c r="F231" i="9"/>
  <c r="I163" i="9"/>
  <c r="C177" i="9"/>
  <c r="O25" i="9"/>
  <c r="I178" i="9"/>
  <c r="O74" i="3"/>
  <c r="C117" i="9"/>
  <c r="O22" i="9"/>
  <c r="C103" i="9"/>
  <c r="O257" i="9"/>
  <c r="E40" i="9"/>
  <c r="H191" i="9"/>
  <c r="N98" i="9"/>
  <c r="F267" i="9"/>
  <c r="L280" i="9"/>
  <c r="N230" i="9"/>
  <c r="H193" i="9"/>
  <c r="H60" i="9"/>
  <c r="N261" i="9"/>
  <c r="E137" i="9"/>
  <c r="O52" i="9"/>
  <c r="O85" i="9"/>
  <c r="O144" i="9"/>
  <c r="O139" i="9"/>
  <c r="F32" i="9"/>
  <c r="H236" i="9"/>
  <c r="K68" i="9"/>
  <c r="O118" i="9"/>
  <c r="F29" i="9"/>
  <c r="E192" i="9"/>
  <c r="L271" i="9"/>
  <c r="O121" i="9"/>
  <c r="F126" i="9"/>
  <c r="F81" i="9"/>
  <c r="C105" i="9"/>
  <c r="I238" i="9"/>
  <c r="K21" i="3"/>
  <c r="F237" i="9"/>
  <c r="N267" i="9"/>
  <c r="E113" i="9"/>
  <c r="C164" i="9"/>
  <c r="L194" i="9"/>
  <c r="F27" i="9"/>
  <c r="C235" i="9"/>
  <c r="F160" i="9"/>
  <c r="I269" i="9"/>
  <c r="L199" i="9"/>
  <c r="O30" i="9"/>
  <c r="K101" i="9"/>
  <c r="E50" i="9"/>
  <c r="O47" i="9"/>
  <c r="C274" i="9"/>
  <c r="I225" i="9"/>
  <c r="N115" i="9"/>
  <c r="C111" i="9"/>
  <c r="I151" i="9"/>
  <c r="K32" i="9"/>
  <c r="H69" i="9"/>
  <c r="K33" i="9"/>
  <c r="C216" i="9"/>
  <c r="K175" i="9"/>
  <c r="C185" i="9"/>
  <c r="K155" i="9"/>
  <c r="I181" i="9"/>
  <c r="L127" i="9"/>
  <c r="O50" i="3"/>
  <c r="H52" i="9"/>
  <c r="K231" i="9"/>
  <c r="K77" i="9"/>
  <c r="O122" i="9"/>
  <c r="K153" i="9"/>
  <c r="N225" i="9"/>
  <c r="C25" i="9"/>
  <c r="K222" i="9"/>
  <c r="E188" i="9"/>
  <c r="L145" i="9"/>
  <c r="N254" i="9"/>
  <c r="H108" i="9"/>
  <c r="N166" i="9"/>
  <c r="L193" i="9"/>
  <c r="O163" i="9"/>
  <c r="F200" i="9"/>
  <c r="O149" i="9"/>
  <c r="I215" i="9"/>
  <c r="O65" i="9"/>
  <c r="K238" i="9"/>
  <c r="H101" i="9"/>
  <c r="L32" i="9"/>
  <c r="O64" i="3"/>
  <c r="C79" i="9"/>
  <c r="H185" i="9"/>
  <c r="H178" i="9"/>
  <c r="C233" i="9"/>
  <c r="H147" i="9"/>
  <c r="E128" i="9"/>
  <c r="I259" i="9"/>
  <c r="L256" i="9"/>
  <c r="F159" i="9"/>
  <c r="E119" i="9"/>
  <c r="I175" i="9"/>
  <c r="N240" i="9"/>
  <c r="I279" i="9"/>
  <c r="C238" i="9"/>
  <c r="O212" i="9"/>
  <c r="K162" i="9"/>
  <c r="F217" i="9"/>
  <c r="F70" i="9"/>
  <c r="E165" i="9"/>
  <c r="F253" i="9"/>
  <c r="I229" i="9"/>
  <c r="H268" i="9"/>
  <c r="E46" i="9"/>
  <c r="O62" i="3"/>
  <c r="L217" i="9"/>
  <c r="L164" i="9"/>
  <c r="N228" i="9"/>
  <c r="C160" i="9"/>
  <c r="K189" i="9"/>
  <c r="O116" i="9"/>
  <c r="O148" i="9"/>
  <c r="I143" i="9"/>
  <c r="I187" i="9"/>
  <c r="C158" i="9"/>
  <c r="G62" i="3"/>
  <c r="K203" i="9"/>
  <c r="I191" i="9"/>
  <c r="L184" i="9"/>
  <c r="N262" i="9"/>
  <c r="F234" i="9"/>
  <c r="O70" i="9"/>
  <c r="K22" i="5"/>
  <c r="G68" i="3"/>
  <c r="E233" i="9"/>
  <c r="N146" i="9"/>
  <c r="C47" i="9"/>
  <c r="F136" i="9"/>
  <c r="K38" i="3"/>
  <c r="L147" i="9"/>
  <c r="F31" i="9"/>
  <c r="E99" i="9"/>
  <c r="H259" i="9"/>
  <c r="K67" i="9"/>
  <c r="C264" i="9"/>
  <c r="H46" i="9"/>
  <c r="F138" i="9"/>
  <c r="I156" i="9"/>
  <c r="N223" i="9"/>
  <c r="C265" i="9"/>
  <c r="H216" i="9"/>
  <c r="N111" i="9"/>
  <c r="E222" i="9"/>
  <c r="L98" i="9"/>
  <c r="O180" i="9"/>
  <c r="N188" i="9"/>
  <c r="O273" i="9"/>
  <c r="H226" i="9"/>
  <c r="K273" i="9"/>
  <c r="N106" i="9"/>
  <c r="C149" i="9"/>
  <c r="F38" i="9"/>
  <c r="E117" i="9"/>
  <c r="K254" i="9"/>
  <c r="K277" i="9"/>
  <c r="F194" i="9"/>
  <c r="E49" i="9"/>
  <c r="C41" i="9"/>
  <c r="F100" i="9"/>
  <c r="H102" i="9"/>
  <c r="I116" i="9"/>
  <c r="L278" i="9"/>
  <c r="I217" i="9"/>
  <c r="I257" i="9"/>
  <c r="F78" i="9"/>
  <c r="F190" i="9"/>
  <c r="E269" i="9"/>
  <c r="C116" i="9"/>
  <c r="O152" i="9"/>
  <c r="L82" i="9"/>
  <c r="L235" i="9"/>
  <c r="O73" i="3"/>
  <c r="K63" i="9"/>
  <c r="E111" i="9"/>
  <c r="O136" i="9"/>
  <c r="L43" i="9"/>
  <c r="F115" i="9"/>
  <c r="O61" i="3"/>
  <c r="C123" i="9"/>
  <c r="F25" i="9"/>
  <c r="F24" i="9"/>
  <c r="I44" i="9"/>
  <c r="K174" i="9"/>
  <c r="E72" i="9"/>
  <c r="I192" i="9"/>
  <c r="L228" i="9"/>
  <c r="C221" i="9"/>
  <c r="I180" i="9"/>
  <c r="C242" i="9"/>
  <c r="E223" i="9"/>
  <c r="C113" i="9"/>
  <c r="F143" i="9"/>
  <c r="L230" i="9"/>
  <c r="N191" i="9"/>
  <c r="H67" i="9"/>
  <c r="I115" i="9"/>
  <c r="O238" i="9"/>
  <c r="L83" i="9"/>
  <c r="K6" i="3"/>
  <c r="K12" i="3"/>
  <c r="O224" i="9"/>
  <c r="F67" i="9"/>
  <c r="L36" i="9"/>
  <c r="O258" i="9"/>
  <c r="N198" i="9"/>
  <c r="F224" i="9"/>
  <c r="F80" i="9"/>
  <c r="I197" i="9"/>
  <c r="F49" i="9"/>
  <c r="E200" i="9"/>
  <c r="C142" i="9"/>
  <c r="F46" i="9"/>
  <c r="L237" i="9"/>
  <c r="L88" i="9"/>
  <c r="E24" i="9"/>
  <c r="C155" i="9"/>
  <c r="C213" i="9"/>
  <c r="K260" i="9"/>
  <c r="L186" i="9"/>
  <c r="N269" i="9"/>
  <c r="N276" i="9"/>
  <c r="O119" i="9"/>
  <c r="K197" i="9"/>
  <c r="I213" i="9"/>
  <c r="F163" i="9"/>
  <c r="E52" i="9"/>
  <c r="C76" i="9"/>
  <c r="N88" i="9"/>
  <c r="E86" i="9"/>
  <c r="H71" i="9"/>
  <c r="F74" i="9"/>
  <c r="H267" i="9"/>
  <c r="H35" i="9"/>
  <c r="E265" i="9"/>
  <c r="H242" i="9"/>
  <c r="I28" i="9"/>
  <c r="C190" i="9"/>
  <c r="K142" i="9"/>
  <c r="F202" i="9"/>
  <c r="L49" i="9"/>
  <c r="N123" i="9"/>
  <c r="C178" i="9"/>
  <c r="I45" i="9"/>
  <c r="C268" i="9"/>
  <c r="N194" i="9"/>
  <c r="H137" i="9"/>
  <c r="E84" i="9"/>
  <c r="F44" i="9"/>
  <c r="N231" i="9"/>
  <c r="E154" i="9"/>
  <c r="I84" i="9"/>
  <c r="C200" i="9"/>
  <c r="L126" i="9"/>
  <c r="L118" i="9"/>
  <c r="I126" i="9"/>
  <c r="F251" i="9"/>
  <c r="C84" i="9"/>
  <c r="L44" i="9"/>
  <c r="N39" i="9"/>
  <c r="N145" i="9"/>
  <c r="K28" i="9"/>
  <c r="K145" i="9"/>
  <c r="H153" i="9"/>
  <c r="H90" i="9"/>
  <c r="O278" i="9"/>
  <c r="E152" i="9"/>
  <c r="L234" i="9"/>
  <c r="L141" i="9"/>
  <c r="I242" i="9"/>
  <c r="F39" i="9"/>
  <c r="N153" i="9"/>
  <c r="K33" i="3"/>
  <c r="K259" i="9"/>
  <c r="K124" i="9"/>
  <c r="F257" i="9"/>
  <c r="K47" i="9"/>
  <c r="C180" i="9"/>
  <c r="G66" i="3"/>
  <c r="O81" i="9"/>
  <c r="H279" i="9"/>
  <c r="C146" i="9"/>
  <c r="N26" i="9"/>
  <c r="K262" i="9"/>
  <c r="I274" i="9"/>
  <c r="E179" i="9"/>
  <c r="H87" i="9"/>
  <c r="K239" i="9"/>
  <c r="I148" i="9"/>
  <c r="L116" i="9"/>
  <c r="L124" i="9"/>
  <c r="H81" i="9"/>
  <c r="C212" i="9"/>
  <c r="C183" i="9"/>
  <c r="O109" i="9"/>
  <c r="K217" i="9"/>
  <c r="H110" i="9"/>
  <c r="E228" i="9"/>
  <c r="F204" i="9"/>
  <c r="L28" i="9"/>
  <c r="N69" i="9"/>
  <c r="E109" i="9"/>
  <c r="H188" i="9"/>
  <c r="I190" i="9"/>
  <c r="O100" i="9"/>
  <c r="H73" i="9"/>
  <c r="E110" i="9"/>
  <c r="I160" i="9"/>
  <c r="F264" i="9"/>
  <c r="C255" i="9"/>
  <c r="G57" i="3"/>
  <c r="E122" i="9"/>
  <c r="F22" i="9"/>
  <c r="N196" i="9"/>
  <c r="K39" i="9"/>
  <c r="C65" i="9"/>
  <c r="K25" i="5"/>
  <c r="E230" i="9"/>
  <c r="C64" i="9"/>
  <c r="O203" i="9"/>
  <c r="H115" i="9"/>
  <c r="E32" i="9"/>
  <c r="O223" i="9"/>
  <c r="I69" i="9"/>
  <c r="F112" i="9"/>
  <c r="O137" i="9"/>
  <c r="F122" i="9"/>
  <c r="L157" i="9"/>
  <c r="E160" i="9"/>
  <c r="H146" i="9"/>
  <c r="E226" i="9"/>
  <c r="C73" i="9"/>
  <c r="E231" i="9"/>
  <c r="G45" i="3"/>
  <c r="H88" i="9"/>
  <c r="E217" i="9"/>
  <c r="O105" i="9"/>
  <c r="I88" i="9"/>
  <c r="O128" i="9"/>
  <c r="I216" i="9"/>
  <c r="I85" i="9"/>
  <c r="L90" i="9"/>
  <c r="H64" i="9"/>
  <c r="N71" i="9"/>
  <c r="L190" i="9"/>
  <c r="O46" i="3"/>
  <c r="G72" i="3"/>
  <c r="E80" i="9"/>
  <c r="L252" i="9"/>
  <c r="E22" i="9"/>
  <c r="L48" i="9"/>
  <c r="K75" i="3"/>
  <c r="F212" i="9"/>
  <c r="O154" i="9"/>
  <c r="H42" i="9"/>
  <c r="H140" i="9"/>
  <c r="H280" i="9"/>
  <c r="H177" i="9"/>
  <c r="H174" i="9"/>
  <c r="L34" i="9"/>
  <c r="O186" i="9"/>
  <c r="C163" i="9"/>
  <c r="E203" i="9"/>
  <c r="E83" i="9"/>
  <c r="E26" i="9"/>
  <c r="F182" i="9"/>
  <c r="H227" i="9"/>
  <c r="C260" i="9"/>
  <c r="N74" i="9"/>
  <c r="F113" i="9"/>
  <c r="H262" i="9"/>
  <c r="C150" i="9"/>
  <c r="O45" i="3"/>
  <c r="H98" i="9"/>
  <c r="I74" i="9"/>
  <c r="H37" i="9"/>
  <c r="K83" i="9"/>
  <c r="O44" i="3"/>
  <c r="E124" i="9"/>
  <c r="E270" i="9"/>
  <c r="K11" i="3"/>
  <c r="C75" i="9"/>
  <c r="G38" i="3"/>
  <c r="N183" i="9"/>
  <c r="C143" i="9"/>
  <c r="C197" i="9"/>
  <c r="K138" i="9"/>
  <c r="E176" i="9"/>
  <c r="N189" i="9"/>
  <c r="H99" i="9"/>
  <c r="N65" i="9"/>
  <c r="N185" i="9"/>
  <c r="O74" i="9"/>
  <c r="K232" i="9"/>
  <c r="O263" i="9"/>
  <c r="F104" i="9"/>
  <c r="C156" i="9"/>
  <c r="K161" i="9"/>
  <c r="K7" i="3"/>
  <c r="K50" i="9"/>
  <c r="H183" i="9"/>
  <c r="K160" i="9"/>
  <c r="F197" i="9"/>
  <c r="F187" i="9"/>
  <c r="N100" i="9"/>
  <c r="K99" i="9"/>
  <c r="L178" i="9"/>
  <c r="K45" i="3"/>
  <c r="K35" i="9"/>
  <c r="K280" i="9"/>
  <c r="C250" i="9"/>
  <c r="I38" i="9"/>
  <c r="F214" i="9"/>
  <c r="H72" i="9"/>
  <c r="O68" i="9"/>
  <c r="C124" i="9"/>
  <c r="N280" i="9"/>
  <c r="K157" i="9"/>
  <c r="E158" i="9"/>
  <c r="K26" i="9"/>
  <c r="F73" i="9"/>
  <c r="L51" i="9"/>
  <c r="I62" i="9"/>
  <c r="F165" i="9"/>
  <c r="F89" i="9"/>
  <c r="L180" i="9"/>
  <c r="F271" i="9"/>
  <c r="E126" i="9"/>
  <c r="C193" i="9"/>
  <c r="O157" i="9"/>
  <c r="E36" i="9"/>
  <c r="H264" i="9"/>
  <c r="I174" i="9"/>
  <c r="K121" i="9"/>
  <c r="N38" i="9"/>
  <c r="I100" i="9"/>
  <c r="H184" i="9"/>
  <c r="F45" i="9"/>
  <c r="N222" i="9"/>
  <c r="K27" i="9"/>
  <c r="O106" i="9"/>
  <c r="K78" i="9"/>
  <c r="I102" i="9"/>
  <c r="G36" i="3"/>
  <c r="E148" i="9"/>
  <c r="I218" i="9"/>
  <c r="N52" i="9"/>
  <c r="L272" i="9"/>
  <c r="I141" i="9"/>
  <c r="O117" i="9"/>
  <c r="I236" i="9"/>
  <c r="O88" i="9"/>
  <c r="C240" i="9"/>
  <c r="K10" i="3"/>
  <c r="C22" i="9"/>
  <c r="L213" i="9"/>
  <c r="C184" i="9"/>
  <c r="O261" i="9"/>
  <c r="F255" i="9"/>
  <c r="K261" i="9"/>
  <c r="I46" i="9"/>
  <c r="F280" i="9"/>
  <c r="F148" i="9"/>
  <c r="F145" i="9"/>
  <c r="H263" i="9"/>
  <c r="G35" i="3"/>
  <c r="K126" i="9"/>
  <c r="N44" i="9"/>
  <c r="I154" i="9"/>
  <c r="C253" i="9"/>
  <c r="K14" i="3"/>
  <c r="C125" i="9"/>
  <c r="K204" i="9"/>
  <c r="N110" i="9"/>
  <c r="C34" i="9"/>
  <c r="F265" i="9"/>
  <c r="I60" i="9"/>
  <c r="I123" i="9"/>
  <c r="O72" i="9"/>
  <c r="K219" i="9"/>
  <c r="K235" i="9"/>
  <c r="H252" i="9"/>
  <c r="L197" i="9"/>
  <c r="L105" i="9"/>
  <c r="K52" i="9"/>
  <c r="L161" i="9"/>
  <c r="E258" i="9"/>
  <c r="E268" i="9"/>
  <c r="O69" i="3"/>
  <c r="N226" i="9"/>
  <c r="O266" i="9"/>
  <c r="L75" i="9"/>
  <c r="C99" i="9"/>
  <c r="H250" i="9"/>
  <c r="K66" i="9"/>
  <c r="C186" i="9"/>
  <c r="H220" i="9"/>
  <c r="C217" i="9"/>
  <c r="H197" i="9"/>
  <c r="N37" i="9"/>
  <c r="L204" i="9"/>
  <c r="F123" i="9"/>
  <c r="L196" i="9"/>
  <c r="I68" i="9"/>
  <c r="E264" i="9"/>
  <c r="K89" i="9"/>
  <c r="K82" i="9"/>
  <c r="O279" i="9"/>
  <c r="L231" i="9"/>
  <c r="E25" i="9"/>
  <c r="E23" i="9"/>
  <c r="K279" i="9"/>
  <c r="N270" i="9"/>
  <c r="C272" i="9"/>
  <c r="E278" i="9"/>
  <c r="H251" i="9"/>
  <c r="E156" i="9"/>
  <c r="E66" i="9"/>
  <c r="L139" i="9"/>
  <c r="K116" i="9"/>
  <c r="H190" i="9"/>
  <c r="E236" i="9"/>
  <c r="H166" i="9"/>
  <c r="K39" i="3"/>
  <c r="O259" i="9"/>
  <c r="H223" i="9"/>
  <c r="N214" i="9"/>
  <c r="O72" i="3"/>
  <c r="N70" i="9"/>
  <c r="O188" i="9"/>
  <c r="H84" i="9"/>
  <c r="F201" i="9"/>
  <c r="K267" i="9"/>
  <c r="O275" i="9"/>
  <c r="N75" i="9"/>
  <c r="F188" i="9"/>
  <c r="F149" i="9"/>
  <c r="C241" i="9"/>
  <c r="C256" i="9"/>
  <c r="L222" i="9"/>
  <c r="H199" i="9"/>
  <c r="K59" i="3"/>
  <c r="F218" i="9"/>
  <c r="K184" i="9"/>
  <c r="N116" i="9"/>
  <c r="F266" i="9"/>
  <c r="H144" i="9"/>
  <c r="I241" i="9"/>
  <c r="I266" i="9"/>
  <c r="E78" i="9"/>
  <c r="K194" i="9"/>
  <c r="O27" i="9"/>
  <c r="I267" i="9"/>
  <c r="C60" i="9"/>
  <c r="O107" i="9"/>
  <c r="N112" i="9"/>
  <c r="K23" i="5"/>
  <c r="I200" i="9"/>
  <c r="O73" i="9"/>
  <c r="N51" i="9"/>
  <c r="K70" i="9"/>
  <c r="N158" i="9"/>
  <c r="I49" i="9"/>
  <c r="F228" i="9"/>
  <c r="E266" i="9"/>
  <c r="H66" i="9"/>
  <c r="I233" i="9"/>
  <c r="K43" i="3"/>
  <c r="K40" i="9"/>
  <c r="K56" i="3"/>
  <c r="K164" i="9"/>
  <c r="O80" i="9"/>
  <c r="N99" i="9"/>
  <c r="N142" i="9"/>
  <c r="F84" i="9"/>
  <c r="C277" i="9"/>
  <c r="N35" i="9"/>
  <c r="E75" i="9"/>
  <c r="E280" i="9"/>
  <c r="L242" i="9"/>
  <c r="H255" i="9"/>
  <c r="L66" i="9"/>
  <c r="N101" i="9"/>
  <c r="H158" i="9"/>
  <c r="O90" i="9"/>
  <c r="O178" i="9"/>
  <c r="K250" i="9"/>
  <c r="I232" i="9"/>
  <c r="K225" i="9"/>
  <c r="I199" i="9"/>
  <c r="O222" i="9"/>
  <c r="C137" i="9"/>
  <c r="L85" i="9"/>
  <c r="O276" i="9"/>
  <c r="K230" i="9"/>
  <c r="O277" i="9"/>
  <c r="L113" i="9"/>
  <c r="O39" i="9"/>
  <c r="O182" i="9"/>
  <c r="L70" i="9"/>
  <c r="K195" i="9"/>
  <c r="H118" i="9"/>
  <c r="N176" i="9"/>
  <c r="O141" i="9"/>
  <c r="I83" i="9"/>
  <c r="K122" i="9"/>
  <c r="L62" i="9"/>
  <c r="E64" i="9"/>
  <c r="E43" i="9"/>
  <c r="E166" i="9"/>
  <c r="H41" i="9"/>
  <c r="C70" i="9"/>
  <c r="C118" i="9"/>
  <c r="L102" i="9"/>
  <c r="H143" i="9"/>
  <c r="E106" i="9"/>
  <c r="L106" i="9"/>
  <c r="O220" i="9"/>
  <c r="H24" i="9"/>
  <c r="N24" i="9"/>
  <c r="L42" i="9"/>
  <c r="L225" i="9"/>
  <c r="E255" i="9"/>
  <c r="L233" i="9"/>
  <c r="O225" i="9"/>
  <c r="K163" i="9"/>
  <c r="L163" i="9"/>
  <c r="K253" i="9"/>
  <c r="G65" i="3"/>
  <c r="H141" i="9"/>
  <c r="H51" i="9"/>
  <c r="O254" i="9"/>
  <c r="N159" i="9"/>
  <c r="F195" i="9"/>
  <c r="G48" i="3"/>
  <c r="O237" i="9"/>
  <c r="L37" i="9"/>
  <c r="O143" i="9"/>
  <c r="N165" i="9"/>
  <c r="K146" i="9"/>
  <c r="O37" i="3"/>
  <c r="N66" i="9"/>
  <c r="K108" i="9"/>
  <c r="F36" i="9"/>
  <c r="C219" i="9"/>
  <c r="I235" i="9"/>
  <c r="C191" i="9"/>
  <c r="G71" i="3"/>
  <c r="O159" i="9"/>
  <c r="L152" i="9"/>
  <c r="E145" i="9"/>
  <c r="N186" i="9"/>
  <c r="I106" i="9"/>
  <c r="C38" i="9"/>
  <c r="K22" i="9"/>
  <c r="H272" i="9"/>
  <c r="C189" i="9"/>
  <c r="E178" i="9"/>
  <c r="C83" i="9"/>
  <c r="N273" i="9"/>
  <c r="H70" i="9"/>
  <c r="O123" i="9"/>
  <c r="I39" i="9"/>
  <c r="F239" i="9"/>
  <c r="N232" i="9"/>
  <c r="K8" i="5"/>
  <c r="O197" i="9"/>
  <c r="H271" i="9"/>
  <c r="K9" i="3"/>
  <c r="K57" i="3"/>
  <c r="C228" i="9"/>
  <c r="I101" i="9"/>
  <c r="C109" i="9"/>
  <c r="O40" i="3"/>
  <c r="O120" i="9"/>
  <c r="H240" i="9"/>
  <c r="F140" i="9"/>
  <c r="H222" i="9"/>
  <c r="I119" i="9"/>
  <c r="O230" i="9"/>
  <c r="E67" i="9"/>
  <c r="E89" i="9"/>
  <c r="C45" i="9"/>
  <c r="O270" i="9"/>
  <c r="K24" i="5"/>
  <c r="H277" i="9"/>
  <c r="K109" i="9"/>
  <c r="K100" i="9"/>
  <c r="E256" i="9"/>
  <c r="N162" i="9"/>
  <c r="K104" i="9"/>
  <c r="I177" i="9"/>
  <c r="E174" i="9"/>
  <c r="G33" i="3"/>
  <c r="E229" i="9"/>
  <c r="K191" i="9"/>
  <c r="F256" i="9"/>
  <c r="E187" i="9"/>
  <c r="F261" i="9"/>
  <c r="H49" i="9"/>
  <c r="O104" i="9"/>
  <c r="O111" i="9"/>
  <c r="L255" i="9"/>
  <c r="C115" i="9"/>
  <c r="F252" i="9"/>
  <c r="C62" i="9"/>
  <c r="E201" i="9"/>
  <c r="K241" i="9"/>
  <c r="F242" i="9"/>
  <c r="K80" i="9"/>
  <c r="H63" i="9"/>
  <c r="K15" i="5"/>
  <c r="N275" i="9"/>
  <c r="C108" i="9"/>
  <c r="I90" i="9"/>
  <c r="K44" i="3"/>
  <c r="E227" i="9"/>
  <c r="N234" i="9"/>
  <c r="I237" i="9"/>
  <c r="H76" i="9"/>
  <c r="K179" i="9"/>
  <c r="C68" i="9"/>
  <c r="F215" i="9"/>
  <c r="H61" i="9"/>
  <c r="H150" i="9"/>
  <c r="I222" i="9"/>
  <c r="L110" i="9"/>
  <c r="O41" i="9"/>
  <c r="E273" i="9"/>
  <c r="H128" i="9"/>
  <c r="I262" i="9"/>
  <c r="N151" i="9"/>
  <c r="I81" i="9"/>
  <c r="E185" i="9"/>
  <c r="I263" i="9"/>
  <c r="O34" i="3"/>
  <c r="I122" i="9"/>
  <c r="H25" i="9"/>
  <c r="K24" i="3"/>
  <c r="L253" i="9"/>
  <c r="K196" i="9"/>
  <c r="L201" i="9"/>
  <c r="H119" i="9"/>
  <c r="O38" i="3"/>
  <c r="O65" i="3"/>
  <c r="L45" i="9"/>
  <c r="I33" i="9"/>
  <c r="E242" i="9"/>
  <c r="E125" i="9"/>
  <c r="O160" i="9"/>
  <c r="N124" i="9"/>
  <c r="E253" i="9"/>
  <c r="L226" i="9"/>
  <c r="N242" i="9"/>
  <c r="N72" i="9"/>
  <c r="I86" i="9"/>
  <c r="H162" i="9"/>
  <c r="N141" i="9"/>
  <c r="I137" i="9"/>
  <c r="E63" i="9"/>
  <c r="I27" i="9"/>
  <c r="K22" i="3"/>
  <c r="F79" i="9"/>
  <c r="K71" i="9"/>
  <c r="C30" i="9"/>
  <c r="H187" i="9"/>
  <c r="E260" i="9"/>
  <c r="F117" i="9"/>
  <c r="H237" i="9"/>
  <c r="N160" i="9"/>
  <c r="C100" i="9"/>
  <c r="K187" i="9"/>
  <c r="I239" i="9"/>
  <c r="I268" i="9"/>
  <c r="C67" i="9"/>
  <c r="E28" i="9"/>
  <c r="N257" i="9"/>
  <c r="C66" i="9"/>
  <c r="G70" i="3"/>
  <c r="F177" i="9"/>
  <c r="K9" i="5"/>
  <c r="F152" i="9"/>
  <c r="H26" i="9"/>
  <c r="N258" i="9"/>
  <c r="N138" i="9"/>
  <c r="K193" i="9"/>
  <c r="H257" i="9"/>
  <c r="K16" i="3"/>
  <c r="E252" i="9"/>
  <c r="N84" i="9"/>
  <c r="N197" i="9"/>
  <c r="K152" i="9"/>
  <c r="N241" i="9"/>
  <c r="I61" i="9"/>
  <c r="O183" i="9"/>
  <c r="I195" i="9"/>
  <c r="O31" i="3"/>
  <c r="I128" i="9"/>
  <c r="O280" i="9"/>
  <c r="O268" i="9"/>
  <c r="L188" i="9"/>
  <c r="H202" i="9"/>
  <c r="L30" i="9"/>
  <c r="K166" i="9"/>
  <c r="E30" i="9"/>
  <c r="K177" i="9"/>
  <c r="E34" i="9"/>
  <c r="I220" i="9"/>
  <c r="E261" i="9"/>
  <c r="L104" i="9"/>
  <c r="C165" i="9"/>
  <c r="N109" i="9"/>
  <c r="E275" i="9"/>
  <c r="L268" i="9"/>
  <c r="L166" i="9"/>
  <c r="N204" i="9"/>
  <c r="K13" i="5"/>
  <c r="K47" i="3"/>
  <c r="F72" i="9"/>
  <c r="N255" i="9"/>
  <c r="C269" i="9"/>
  <c r="O221" i="9"/>
  <c r="K114" i="9"/>
  <c r="C236" i="9"/>
  <c r="K156" i="9"/>
  <c r="F150" i="9"/>
  <c r="C153" i="9"/>
  <c r="K216" i="9"/>
  <c r="H89" i="9"/>
  <c r="I23" i="9"/>
  <c r="C43" i="9"/>
  <c r="K212" i="9"/>
  <c r="C33" i="9"/>
  <c r="F277" i="9"/>
  <c r="L137" i="9"/>
  <c r="K46" i="9"/>
  <c r="I29" i="9"/>
  <c r="C72" i="9"/>
  <c r="F181" i="9"/>
  <c r="E38" i="9"/>
  <c r="L148" i="9"/>
  <c r="O250" i="9"/>
  <c r="I22" i="9"/>
  <c r="O153" i="9"/>
  <c r="L74" i="9"/>
  <c r="G59" i="3"/>
  <c r="O110" i="9"/>
  <c r="I105" i="9"/>
  <c r="F158" i="9"/>
  <c r="H68" i="9"/>
  <c r="K227" i="9"/>
  <c r="O29" i="9"/>
  <c r="E164" i="9"/>
  <c r="L22" i="9"/>
  <c r="E197" i="9"/>
  <c r="L202" i="9"/>
  <c r="K84" i="9"/>
  <c r="H198" i="9"/>
  <c r="K214" i="9"/>
  <c r="L183" i="9"/>
  <c r="E235" i="9"/>
  <c r="I72" i="9"/>
  <c r="C63" i="9"/>
  <c r="C46" i="9"/>
  <c r="I203" i="9"/>
  <c r="K8" i="3"/>
  <c r="F191" i="9"/>
  <c r="L25" i="9"/>
  <c r="H230" i="9"/>
  <c r="K40" i="3"/>
  <c r="F254" i="9"/>
  <c r="L108" i="9"/>
  <c r="H104" i="9"/>
  <c r="C71" i="9"/>
  <c r="O272" i="9"/>
  <c r="L214" i="9"/>
  <c r="C215" i="9"/>
  <c r="N220" i="9"/>
  <c r="I275" i="9"/>
  <c r="E183" i="9"/>
  <c r="O83" i="9"/>
  <c r="E277" i="9"/>
  <c r="F230" i="9"/>
  <c r="L119" i="9"/>
  <c r="L181" i="9"/>
  <c r="E116" i="9"/>
  <c r="E163" i="9"/>
  <c r="N40" i="9"/>
  <c r="N32" i="9"/>
  <c r="K240" i="9"/>
  <c r="F153" i="9"/>
  <c r="F219" i="9"/>
  <c r="I260" i="9"/>
  <c r="N260" i="9"/>
  <c r="C145" i="9"/>
  <c r="G63" i="3"/>
  <c r="L120" i="9"/>
  <c r="L26" i="9"/>
  <c r="L121" i="9"/>
  <c r="F51" i="9"/>
  <c r="I71" i="9"/>
  <c r="H215" i="9"/>
  <c r="I186" i="9"/>
  <c r="N203" i="9"/>
  <c r="O75" i="9"/>
  <c r="I158" i="9"/>
  <c r="C227" i="9"/>
  <c r="H77" i="9"/>
  <c r="K147" i="9"/>
  <c r="F109" i="9"/>
  <c r="C120" i="9"/>
  <c r="C271" i="9"/>
  <c r="O236" i="9"/>
  <c r="H32" i="9"/>
  <c r="L100" i="9"/>
  <c r="O185" i="9"/>
  <c r="F23" i="9"/>
  <c r="F141" i="9"/>
  <c r="O57" i="3"/>
  <c r="O46" i="9"/>
  <c r="K103" i="9"/>
  <c r="E259" i="9"/>
  <c r="L240" i="9"/>
  <c r="O265" i="9"/>
  <c r="H121" i="9"/>
  <c r="F189" i="9"/>
  <c r="C23" i="9"/>
  <c r="K30" i="9"/>
  <c r="N195" i="9"/>
  <c r="F259" i="9"/>
  <c r="N128" i="9"/>
  <c r="F238" i="9"/>
  <c r="K141" i="9"/>
  <c r="F61" i="9"/>
  <c r="E219" i="9"/>
  <c r="E107" i="9"/>
  <c r="O66" i="9"/>
  <c r="C26" i="9"/>
  <c r="E144" i="9"/>
  <c r="O68" i="3"/>
  <c r="L179" i="9"/>
  <c r="L267" i="9"/>
  <c r="O226" i="9"/>
  <c r="G50" i="3"/>
  <c r="I179" i="9"/>
  <c r="K199" i="9"/>
  <c r="K17" i="5"/>
  <c r="K213" i="9"/>
  <c r="C188" i="9"/>
  <c r="I79" i="9"/>
  <c r="C28" i="9"/>
  <c r="O262" i="9"/>
  <c r="N161" i="9"/>
  <c r="N177" i="9"/>
  <c r="E175" i="9"/>
  <c r="L146" i="9"/>
  <c r="I255" i="9"/>
  <c r="I70" i="9"/>
  <c r="N233" i="9"/>
  <c r="H62" i="9"/>
  <c r="L270" i="9"/>
  <c r="K234" i="9"/>
  <c r="F52" i="9"/>
  <c r="K276" i="9"/>
  <c r="C251" i="9"/>
  <c r="K159" i="9"/>
  <c r="O194" i="9"/>
  <c r="L265" i="9"/>
  <c r="F273" i="9"/>
  <c r="C218" i="9"/>
  <c r="L262" i="9"/>
  <c r="N27" i="9"/>
  <c r="C179" i="9"/>
  <c r="F250" i="9"/>
  <c r="E79" i="9"/>
  <c r="O228" i="9"/>
  <c r="E186" i="9"/>
  <c r="N105" i="9"/>
  <c r="K34" i="3"/>
  <c r="K198" i="9"/>
  <c r="H38" i="9"/>
  <c r="H275" i="9"/>
  <c r="H106" i="9"/>
  <c r="C44" i="9"/>
  <c r="O60" i="9"/>
  <c r="C29" i="9"/>
  <c r="C161" i="9"/>
  <c r="L165" i="9"/>
  <c r="L224" i="9"/>
  <c r="O87" i="9"/>
  <c r="L72" i="9"/>
  <c r="E162" i="9"/>
  <c r="K32" i="3"/>
  <c r="N119" i="9"/>
  <c r="K181" i="9"/>
  <c r="E214" i="9"/>
  <c r="E240" i="9"/>
  <c r="I25" i="9"/>
  <c r="E225" i="9"/>
  <c r="G46" i="3"/>
  <c r="I164" i="9"/>
  <c r="I182" i="9"/>
  <c r="I51" i="9"/>
  <c r="N90" i="9"/>
  <c r="C147" i="9"/>
  <c r="F162" i="9"/>
  <c r="H228" i="9"/>
  <c r="O31" i="9"/>
  <c r="O217" i="9"/>
  <c r="H176" i="9"/>
  <c r="I194" i="9"/>
  <c r="N147" i="9"/>
  <c r="H273" i="9"/>
  <c r="F233" i="9"/>
  <c r="H214" i="9"/>
  <c r="O264" i="9"/>
  <c r="O174" i="9"/>
  <c r="E263" i="9"/>
  <c r="F77" i="9"/>
  <c r="L71" i="9"/>
  <c r="H126" i="9"/>
  <c r="F26" i="9"/>
  <c r="C107" i="9"/>
  <c r="N274" i="9"/>
  <c r="O166" i="9"/>
  <c r="G47" i="3"/>
  <c r="O49" i="3"/>
  <c r="H112" i="9"/>
  <c r="N125" i="9"/>
  <c r="I155" i="9"/>
  <c r="L215" i="9"/>
  <c r="H152" i="9"/>
  <c r="L273" i="9"/>
  <c r="H65" i="9"/>
  <c r="I184" i="9"/>
  <c r="G49" i="3"/>
  <c r="L122" i="9"/>
  <c r="O164" i="9"/>
  <c r="F225" i="9"/>
  <c r="E196" i="9"/>
  <c r="N279" i="9"/>
  <c r="E112" i="9"/>
  <c r="L156" i="9"/>
  <c r="F221" i="9"/>
  <c r="F278" i="9"/>
  <c r="F114" i="9"/>
  <c r="F40" i="9"/>
  <c r="I31" i="9"/>
  <c r="C49" i="9"/>
  <c r="H181" i="9"/>
  <c r="F121" i="9"/>
  <c r="K43" i="9"/>
  <c r="E76" i="9"/>
  <c r="N30" i="9"/>
  <c r="K79" i="9"/>
  <c r="G34" i="3"/>
  <c r="E85" i="9"/>
  <c r="H109" i="9"/>
  <c r="O49" i="9"/>
  <c r="L182" i="9"/>
  <c r="O40" i="9"/>
  <c r="L277" i="9"/>
  <c r="N154" i="9"/>
  <c r="E254" i="9"/>
  <c r="C74" i="9"/>
  <c r="C266" i="9"/>
  <c r="H36" i="9"/>
  <c r="K60" i="9"/>
  <c r="O38" i="9"/>
  <c r="O142" i="9"/>
  <c r="C86" i="9"/>
  <c r="H234" i="9"/>
  <c r="C262" i="9"/>
  <c r="H138" i="9"/>
  <c r="G58" i="3"/>
  <c r="F186" i="9"/>
  <c r="E88" i="9"/>
  <c r="C138" i="9"/>
  <c r="O235" i="9"/>
  <c r="C152" i="9"/>
  <c r="E81" i="9"/>
  <c r="L84" i="9"/>
  <c r="E267" i="9"/>
  <c r="K154" i="9"/>
  <c r="I40" i="9"/>
  <c r="L99" i="9"/>
  <c r="L125" i="9"/>
  <c r="O147" i="9"/>
  <c r="C214" i="9"/>
  <c r="H111" i="9"/>
  <c r="K271" i="9"/>
  <c r="I176" i="9"/>
  <c r="H165" i="9"/>
  <c r="E127" i="9"/>
  <c r="K85" i="9"/>
  <c r="F110" i="9"/>
  <c r="F268" i="9"/>
  <c r="L81" i="9"/>
  <c r="F98" i="9"/>
  <c r="I78" i="9"/>
  <c r="H31" i="9"/>
  <c r="L187" i="9"/>
  <c r="O32" i="9"/>
  <c r="I64" i="9"/>
  <c r="I157" i="9"/>
  <c r="I183" i="9"/>
  <c r="H116" i="9"/>
  <c r="E276" i="9"/>
  <c r="N67" i="9"/>
  <c r="I113" i="9"/>
  <c r="N201" i="9"/>
  <c r="O45" i="9"/>
  <c r="E177" i="9"/>
  <c r="O179" i="9"/>
  <c r="O233" i="9"/>
  <c r="K115" i="9"/>
  <c r="N23" i="9"/>
  <c r="K223" i="9"/>
  <c r="L31" i="9"/>
  <c r="F146" i="9"/>
  <c r="O253" i="9"/>
  <c r="H79" i="9"/>
  <c r="I223" i="9"/>
  <c r="K71" i="3"/>
  <c r="L50" i="9"/>
  <c r="O155" i="9"/>
  <c r="I108" i="9"/>
  <c r="H260" i="9"/>
  <c r="O215" i="9"/>
  <c r="K218" i="9"/>
  <c r="F144" i="9"/>
  <c r="N252" i="9"/>
  <c r="L107" i="9"/>
  <c r="N239" i="9"/>
  <c r="L68" i="9"/>
  <c r="I125" i="9"/>
  <c r="I193" i="9"/>
  <c r="K16" i="5"/>
  <c r="I140" i="9"/>
  <c r="K81" i="9"/>
  <c r="O239" i="9"/>
  <c r="H100" i="9"/>
  <c r="F263" i="9"/>
  <c r="E42" i="9"/>
  <c r="N137" i="9"/>
  <c r="L221" i="9"/>
  <c r="F275" i="9"/>
  <c r="O44" i="9"/>
  <c r="O82" i="9"/>
  <c r="F76" i="9"/>
  <c r="K48" i="9"/>
  <c r="H127" i="9"/>
  <c r="O67" i="3"/>
  <c r="O267" i="9"/>
  <c r="K36" i="3"/>
  <c r="N199" i="9"/>
  <c r="E141" i="9"/>
  <c r="L227" i="9"/>
  <c r="G60" i="3"/>
  <c r="O101" i="9"/>
  <c r="I89" i="9"/>
  <c r="K158" i="9"/>
  <c r="I26" i="9"/>
  <c r="E69" i="9"/>
  <c r="C114" i="9"/>
  <c r="E74" i="9"/>
  <c r="L76" i="9"/>
  <c r="C234" i="9"/>
  <c r="O195" i="9"/>
  <c r="O69" i="9"/>
  <c r="F124" i="9"/>
  <c r="N117" i="9"/>
  <c r="K165" i="9"/>
  <c r="K123" i="9"/>
  <c r="F183" i="9"/>
  <c r="F116" i="9"/>
  <c r="O36" i="9"/>
  <c r="C273" i="9"/>
  <c r="F33" i="9"/>
  <c r="L203" i="9"/>
  <c r="I265" i="9"/>
  <c r="F83" i="9"/>
  <c r="F42" i="9"/>
  <c r="L101" i="9"/>
  <c r="F164" i="9"/>
  <c r="E39" i="9"/>
  <c r="K50" i="3"/>
  <c r="I144" i="9"/>
  <c r="L251" i="9"/>
  <c r="E142" i="9"/>
  <c r="O23" i="9"/>
  <c r="H213" i="9"/>
  <c r="L229" i="9"/>
  <c r="C127" i="9"/>
  <c r="G56" i="3"/>
  <c r="N143" i="9"/>
  <c r="O150" i="9"/>
  <c r="H56" i="3" l="1"/>
  <c r="J56" i="3"/>
  <c r="I56" i="3"/>
  <c r="J127" i="9"/>
  <c r="M127" i="9"/>
  <c r="G127" i="9"/>
  <c r="D127" i="9"/>
  <c r="M50" i="3"/>
  <c r="N50" i="3"/>
  <c r="L50" i="3"/>
  <c r="J273" i="9"/>
  <c r="G273" i="9"/>
  <c r="M273" i="9"/>
  <c r="D273" i="9"/>
  <c r="G234" i="9"/>
  <c r="M234" i="9"/>
  <c r="D234" i="9"/>
  <c r="J234" i="9"/>
  <c r="D114" i="9"/>
  <c r="J114" i="9"/>
  <c r="G114" i="9"/>
  <c r="M114" i="9"/>
  <c r="H60" i="3"/>
  <c r="I60" i="3"/>
  <c r="J60" i="3"/>
  <c r="N36" i="3"/>
  <c r="M36" i="3"/>
  <c r="L36" i="3"/>
  <c r="R67" i="3"/>
  <c r="Q67" i="3"/>
  <c r="P67" i="3"/>
  <c r="M16" i="5"/>
  <c r="N16" i="5"/>
  <c r="L16" i="5"/>
  <c r="M71" i="3"/>
  <c r="N71" i="3"/>
  <c r="L71" i="3"/>
  <c r="F130" i="9"/>
  <c r="E130" i="9" s="1"/>
  <c r="D6" i="9" s="1"/>
  <c r="J214" i="9"/>
  <c r="M214" i="9"/>
  <c r="G214" i="9"/>
  <c r="D214" i="9"/>
  <c r="M152" i="9"/>
  <c r="J152" i="9"/>
  <c r="D152" i="9"/>
  <c r="G152" i="9"/>
  <c r="G138" i="9"/>
  <c r="J138" i="9"/>
  <c r="M138" i="9"/>
  <c r="D138" i="9"/>
  <c r="I58" i="3"/>
  <c r="H58" i="3"/>
  <c r="J58" i="3"/>
  <c r="J262" i="9"/>
  <c r="M262" i="9"/>
  <c r="D262" i="9"/>
  <c r="G262" i="9"/>
  <c r="J86" i="9"/>
  <c r="G86" i="9"/>
  <c r="D86" i="9"/>
  <c r="M86" i="9"/>
  <c r="D266" i="9"/>
  <c r="G266" i="9"/>
  <c r="J266" i="9"/>
  <c r="M266" i="9"/>
  <c r="G74" i="9"/>
  <c r="D74" i="9"/>
  <c r="M74" i="9"/>
  <c r="J74" i="9"/>
  <c r="I34" i="3"/>
  <c r="J34" i="3"/>
  <c r="H34" i="3"/>
  <c r="G49" i="9"/>
  <c r="M49" i="9"/>
  <c r="J49" i="9"/>
  <c r="D49" i="9"/>
  <c r="H49" i="3"/>
  <c r="I49" i="3"/>
  <c r="J49" i="3"/>
  <c r="Q49" i="3"/>
  <c r="R49" i="3"/>
  <c r="P49" i="3"/>
  <c r="I47" i="3"/>
  <c r="H47" i="3"/>
  <c r="J47" i="3"/>
  <c r="D107" i="9"/>
  <c r="G107" i="9"/>
  <c r="M107" i="9"/>
  <c r="J107" i="9"/>
  <c r="O206" i="9"/>
  <c r="N206" i="9" s="1"/>
  <c r="M8" i="9" s="1"/>
  <c r="M147" i="9"/>
  <c r="J147" i="9"/>
  <c r="G147" i="9"/>
  <c r="D147" i="9"/>
  <c r="H46" i="3"/>
  <c r="J46" i="3"/>
  <c r="I46" i="3"/>
  <c r="L32" i="3"/>
  <c r="N32" i="3"/>
  <c r="M32" i="3"/>
  <c r="M161" i="9"/>
  <c r="J161" i="9"/>
  <c r="G161" i="9"/>
  <c r="D161" i="9"/>
  <c r="M29" i="9"/>
  <c r="D29" i="9"/>
  <c r="G29" i="9"/>
  <c r="J29" i="9"/>
  <c r="O92" i="9"/>
  <c r="N92" i="9" s="1"/>
  <c r="M4" i="9" s="1"/>
  <c r="D44" i="9"/>
  <c r="M44" i="9"/>
  <c r="G44" i="9"/>
  <c r="J44" i="9"/>
  <c r="N34" i="3"/>
  <c r="M34" i="3"/>
  <c r="L34" i="3"/>
  <c r="F282" i="9"/>
  <c r="E282" i="9" s="1"/>
  <c r="D14" i="9" s="1"/>
  <c r="J179" i="9"/>
  <c r="M179" i="9"/>
  <c r="D179" i="9"/>
  <c r="G179" i="9"/>
  <c r="G218" i="9"/>
  <c r="J218" i="9"/>
  <c r="M218" i="9"/>
  <c r="D218" i="9"/>
  <c r="G251" i="9"/>
  <c r="J251" i="9"/>
  <c r="D251" i="9"/>
  <c r="M251" i="9"/>
  <c r="G28" i="9"/>
  <c r="M28" i="9"/>
  <c r="D28" i="9"/>
  <c r="J28" i="9"/>
  <c r="M188" i="9"/>
  <c r="D188" i="9"/>
  <c r="G188" i="9"/>
  <c r="J188" i="9"/>
  <c r="L17" i="5"/>
  <c r="M17" i="5"/>
  <c r="N17" i="5"/>
  <c r="I50" i="3"/>
  <c r="J50" i="3"/>
  <c r="H50" i="3"/>
  <c r="P68" i="3"/>
  <c r="R68" i="3"/>
  <c r="Q68" i="3"/>
  <c r="M26" i="9"/>
  <c r="G26" i="9"/>
  <c r="D26" i="9"/>
  <c r="J26" i="9"/>
  <c r="G23" i="9"/>
  <c r="D23" i="9"/>
  <c r="M23" i="9"/>
  <c r="J23" i="9"/>
  <c r="R57" i="3"/>
  <c r="P57" i="3"/>
  <c r="Q57" i="3"/>
  <c r="D271" i="9"/>
  <c r="M271" i="9"/>
  <c r="J271" i="9"/>
  <c r="G271" i="9"/>
  <c r="M120" i="9"/>
  <c r="G120" i="9"/>
  <c r="D120" i="9"/>
  <c r="J120" i="9"/>
  <c r="G227" i="9"/>
  <c r="D227" i="9"/>
  <c r="M227" i="9"/>
  <c r="J227" i="9"/>
  <c r="H63" i="3"/>
  <c r="I63" i="3"/>
  <c r="J63" i="3"/>
  <c r="J145" i="9"/>
  <c r="M145" i="9"/>
  <c r="D145" i="9"/>
  <c r="G145" i="9"/>
  <c r="G215" i="9"/>
  <c r="M215" i="9"/>
  <c r="J215" i="9"/>
  <c r="D215" i="9"/>
  <c r="M71" i="9"/>
  <c r="G71" i="9"/>
  <c r="D71" i="9"/>
  <c r="J71" i="9"/>
  <c r="N40" i="3"/>
  <c r="M40" i="3"/>
  <c r="L40" i="3"/>
  <c r="L8" i="3"/>
  <c r="M8" i="3"/>
  <c r="N8" i="3"/>
  <c r="G46" i="9"/>
  <c r="D46" i="9"/>
  <c r="J46" i="9"/>
  <c r="M46" i="9"/>
  <c r="J63" i="9"/>
  <c r="D63" i="9"/>
  <c r="G63" i="9"/>
  <c r="M63" i="9"/>
  <c r="L54" i="9"/>
  <c r="K54" i="9" s="1"/>
  <c r="J16" i="9" s="1"/>
  <c r="J59" i="3"/>
  <c r="H59" i="3"/>
  <c r="I59" i="3"/>
  <c r="I54" i="9"/>
  <c r="H54" i="9" s="1"/>
  <c r="G16" i="9" s="1"/>
  <c r="O282" i="9"/>
  <c r="N282" i="9" s="1"/>
  <c r="M14" i="9" s="1"/>
  <c r="J72" i="9"/>
  <c r="G72" i="9"/>
  <c r="D72" i="9"/>
  <c r="M72" i="9"/>
  <c r="D33" i="9"/>
  <c r="M33" i="9"/>
  <c r="J33" i="9"/>
  <c r="G33" i="9"/>
  <c r="J43" i="9"/>
  <c r="D43" i="9"/>
  <c r="G43" i="9"/>
  <c r="M43" i="9"/>
  <c r="J153" i="9"/>
  <c r="M153" i="9"/>
  <c r="D153" i="9"/>
  <c r="G153" i="9"/>
  <c r="M236" i="9"/>
  <c r="G236" i="9"/>
  <c r="J236" i="9"/>
  <c r="D236" i="9"/>
  <c r="D269" i="9"/>
  <c r="M269" i="9"/>
  <c r="J269" i="9"/>
  <c r="G269" i="9"/>
  <c r="N47" i="3"/>
  <c r="M47" i="3"/>
  <c r="L47" i="3"/>
  <c r="M13" i="5"/>
  <c r="N13" i="5"/>
  <c r="L13" i="5"/>
  <c r="D165" i="9"/>
  <c r="M165" i="9"/>
  <c r="G165" i="9"/>
  <c r="J165" i="9"/>
  <c r="R31" i="3"/>
  <c r="P31" i="3"/>
  <c r="Q31" i="3"/>
  <c r="L16" i="3"/>
  <c r="M16" i="3"/>
  <c r="N16" i="3"/>
  <c r="L9" i="5"/>
  <c r="M9" i="5"/>
  <c r="N9" i="5"/>
  <c r="J70" i="3"/>
  <c r="I70" i="3"/>
  <c r="H70" i="3"/>
  <c r="M66" i="9"/>
  <c r="G66" i="9"/>
  <c r="J66" i="9"/>
  <c r="D66" i="9"/>
  <c r="J67" i="9"/>
  <c r="G67" i="9"/>
  <c r="D67" i="9"/>
  <c r="M67" i="9"/>
  <c r="M100" i="9"/>
  <c r="G100" i="9"/>
  <c r="D100" i="9"/>
  <c r="J100" i="9"/>
  <c r="J30" i="9"/>
  <c r="D30" i="9"/>
  <c r="G30" i="9"/>
  <c r="M30" i="9"/>
  <c r="M22" i="3"/>
  <c r="L22" i="3"/>
  <c r="N22" i="3"/>
  <c r="Q65" i="3"/>
  <c r="P65" i="3"/>
  <c r="R65" i="3"/>
  <c r="Q38" i="3"/>
  <c r="P38" i="3"/>
  <c r="R38" i="3"/>
  <c r="L24" i="3"/>
  <c r="N24" i="3"/>
  <c r="M24" i="3"/>
  <c r="Q34" i="3"/>
  <c r="R34" i="3"/>
  <c r="P34" i="3"/>
  <c r="G68" i="9"/>
  <c r="D68" i="9"/>
  <c r="J68" i="9"/>
  <c r="M68" i="9"/>
  <c r="N44" i="3"/>
  <c r="L44" i="3"/>
  <c r="M44" i="3"/>
  <c r="J108" i="9"/>
  <c r="D108" i="9"/>
  <c r="G108" i="9"/>
  <c r="M108" i="9"/>
  <c r="N15" i="5"/>
  <c r="L15" i="5"/>
  <c r="M15" i="5"/>
  <c r="M62" i="9"/>
  <c r="G62" i="9"/>
  <c r="D62" i="9"/>
  <c r="J62" i="9"/>
  <c r="J115" i="9"/>
  <c r="M115" i="9"/>
  <c r="G115" i="9"/>
  <c r="D115" i="9"/>
  <c r="H33" i="3"/>
  <c r="I33" i="3"/>
  <c r="J33" i="3"/>
  <c r="M24" i="5"/>
  <c r="N24" i="5"/>
  <c r="L24" i="5"/>
  <c r="D45" i="9"/>
  <c r="G45" i="9"/>
  <c r="M45" i="9"/>
  <c r="J45" i="9"/>
  <c r="Q40" i="3"/>
  <c r="R40" i="3"/>
  <c r="P40" i="3"/>
  <c r="J109" i="9"/>
  <c r="D109" i="9"/>
  <c r="G109" i="9"/>
  <c r="M109" i="9"/>
  <c r="G228" i="9"/>
  <c r="J228" i="9"/>
  <c r="M228" i="9"/>
  <c r="D228" i="9"/>
  <c r="L57" i="3"/>
  <c r="N57" i="3"/>
  <c r="M57" i="3"/>
  <c r="L9" i="3"/>
  <c r="N9" i="3"/>
  <c r="M9" i="3"/>
  <c r="M8" i="5"/>
  <c r="L8" i="5"/>
  <c r="N8" i="5"/>
  <c r="D83" i="9"/>
  <c r="M83" i="9"/>
  <c r="G83" i="9"/>
  <c r="J83" i="9"/>
  <c r="J189" i="9"/>
  <c r="D189" i="9"/>
  <c r="M189" i="9"/>
  <c r="G189" i="9"/>
  <c r="G38" i="9"/>
  <c r="M38" i="9"/>
  <c r="D38" i="9"/>
  <c r="J38" i="9"/>
  <c r="I71" i="3"/>
  <c r="H71" i="3"/>
  <c r="J71" i="3"/>
  <c r="M191" i="9"/>
  <c r="D191" i="9"/>
  <c r="G191" i="9"/>
  <c r="J191" i="9"/>
  <c r="D219" i="9"/>
  <c r="M219" i="9"/>
  <c r="G219" i="9"/>
  <c r="J219" i="9"/>
  <c r="R37" i="3"/>
  <c r="P37" i="3"/>
  <c r="Q37" i="3"/>
  <c r="J48" i="3"/>
  <c r="I48" i="3"/>
  <c r="H48" i="3"/>
  <c r="H65" i="3"/>
  <c r="J65" i="3"/>
  <c r="I65" i="3"/>
  <c r="G118" i="9"/>
  <c r="J118" i="9"/>
  <c r="D118" i="9"/>
  <c r="M118" i="9"/>
  <c r="D70" i="9"/>
  <c r="G70" i="9"/>
  <c r="J70" i="9"/>
  <c r="M70" i="9"/>
  <c r="M137" i="9"/>
  <c r="G137" i="9"/>
  <c r="J137" i="9"/>
  <c r="D137" i="9"/>
  <c r="M277" i="9"/>
  <c r="J277" i="9"/>
  <c r="G277" i="9"/>
  <c r="D277" i="9"/>
  <c r="M56" i="3"/>
  <c r="L56" i="3"/>
  <c r="N56" i="3"/>
  <c r="L43" i="3"/>
  <c r="M43" i="3"/>
  <c r="N43" i="3"/>
  <c r="L23" i="5"/>
  <c r="N23" i="5"/>
  <c r="M23" i="5"/>
  <c r="D60" i="9"/>
  <c r="M60" i="9"/>
  <c r="C92" i="9"/>
  <c r="G60" i="9"/>
  <c r="J60" i="9"/>
  <c r="M59" i="3"/>
  <c r="N59" i="3"/>
  <c r="L59" i="3"/>
  <c r="G256" i="9"/>
  <c r="M256" i="9"/>
  <c r="D256" i="9"/>
  <c r="J256" i="9"/>
  <c r="D241" i="9"/>
  <c r="J241" i="9"/>
  <c r="G241" i="9"/>
  <c r="M241" i="9"/>
  <c r="R72" i="3"/>
  <c r="P72" i="3"/>
  <c r="Q72" i="3"/>
  <c r="L39" i="3"/>
  <c r="M39" i="3"/>
  <c r="N39" i="3"/>
  <c r="D272" i="9"/>
  <c r="G272" i="9"/>
  <c r="M272" i="9"/>
  <c r="J272" i="9"/>
  <c r="J217" i="9"/>
  <c r="G217" i="9"/>
  <c r="D217" i="9"/>
  <c r="M217" i="9"/>
  <c r="G186" i="9"/>
  <c r="J186" i="9"/>
  <c r="M186" i="9"/>
  <c r="D186" i="9"/>
  <c r="M99" i="9"/>
  <c r="G99" i="9"/>
  <c r="J99" i="9"/>
  <c r="D99" i="9"/>
  <c r="P69" i="3"/>
  <c r="Q69" i="3"/>
  <c r="R69" i="3"/>
  <c r="I92" i="9"/>
  <c r="H92" i="9" s="1"/>
  <c r="G4" i="9" s="1"/>
  <c r="M34" i="9"/>
  <c r="G34" i="9"/>
  <c r="D34" i="9"/>
  <c r="J34" i="9"/>
  <c r="M125" i="9"/>
  <c r="J125" i="9"/>
  <c r="G125" i="9"/>
  <c r="D125" i="9"/>
  <c r="L14" i="3"/>
  <c r="N14" i="3"/>
  <c r="M14" i="3"/>
  <c r="G253" i="9"/>
  <c r="J253" i="9"/>
  <c r="D253" i="9"/>
  <c r="M253" i="9"/>
  <c r="I35" i="3"/>
  <c r="J35" i="3"/>
  <c r="H35" i="3"/>
  <c r="G184" i="9"/>
  <c r="D184" i="9"/>
  <c r="M184" i="9"/>
  <c r="J184" i="9"/>
  <c r="D22" i="9"/>
  <c r="C54" i="9"/>
  <c r="G22" i="9"/>
  <c r="M22" i="9"/>
  <c r="J22" i="9"/>
  <c r="L10" i="3"/>
  <c r="M10" i="3"/>
  <c r="N10" i="3"/>
  <c r="M240" i="9"/>
  <c r="G240" i="9"/>
  <c r="J240" i="9"/>
  <c r="D240" i="9"/>
  <c r="H36" i="3"/>
  <c r="J36" i="3"/>
  <c r="I36" i="3"/>
  <c r="I206" i="9"/>
  <c r="H206" i="9" s="1"/>
  <c r="G8" i="9" s="1"/>
  <c r="D193" i="9"/>
  <c r="G193" i="9"/>
  <c r="J193" i="9"/>
  <c r="M193" i="9"/>
  <c r="J124" i="9"/>
  <c r="G124" i="9"/>
  <c r="M124" i="9"/>
  <c r="D124" i="9"/>
  <c r="G250" i="9"/>
  <c r="D250" i="9"/>
  <c r="M250" i="9"/>
  <c r="J250" i="9"/>
  <c r="C282" i="9"/>
  <c r="M45" i="3"/>
  <c r="L45" i="3"/>
  <c r="N45" i="3"/>
  <c r="L7" i="3"/>
  <c r="M7" i="3"/>
  <c r="N7" i="3"/>
  <c r="M156" i="9"/>
  <c r="D156" i="9"/>
  <c r="G156" i="9"/>
  <c r="J156" i="9"/>
  <c r="G197" i="9"/>
  <c r="D197" i="9"/>
  <c r="J197" i="9"/>
  <c r="M197" i="9"/>
  <c r="J143" i="9"/>
  <c r="M143" i="9"/>
  <c r="G143" i="9"/>
  <c r="D143" i="9"/>
  <c r="I38" i="3"/>
  <c r="H38" i="3"/>
  <c r="J38" i="3"/>
  <c r="J75" i="9"/>
  <c r="G75" i="9"/>
  <c r="M75" i="9"/>
  <c r="D75" i="9"/>
  <c r="N11" i="3"/>
  <c r="M11" i="3"/>
  <c r="L11" i="3"/>
  <c r="Q44" i="3"/>
  <c r="R44" i="3"/>
  <c r="P44" i="3"/>
  <c r="P45" i="3"/>
  <c r="Q45" i="3"/>
  <c r="R45" i="3"/>
  <c r="M150" i="9"/>
  <c r="D150" i="9"/>
  <c r="J150" i="9"/>
  <c r="G150" i="9"/>
  <c r="J260" i="9"/>
  <c r="D260" i="9"/>
  <c r="G260" i="9"/>
  <c r="M260" i="9"/>
  <c r="G163" i="9"/>
  <c r="D163" i="9"/>
  <c r="J163" i="9"/>
  <c r="M163" i="9"/>
  <c r="F244" i="9"/>
  <c r="E244" i="9" s="1"/>
  <c r="D10" i="9" s="1"/>
  <c r="M75" i="3"/>
  <c r="L75" i="3"/>
  <c r="N75" i="3"/>
  <c r="H72" i="3"/>
  <c r="J72" i="3"/>
  <c r="I72" i="3"/>
  <c r="Q46" i="3"/>
  <c r="P46" i="3"/>
  <c r="R46" i="3"/>
  <c r="I45" i="3"/>
  <c r="J45" i="3"/>
  <c r="H45" i="3"/>
  <c r="G73" i="9"/>
  <c r="D73" i="9"/>
  <c r="J73" i="9"/>
  <c r="M73" i="9"/>
  <c r="D64" i="9"/>
  <c r="G64" i="9"/>
  <c r="J64" i="9"/>
  <c r="M64" i="9"/>
  <c r="M25" i="5"/>
  <c r="N25" i="5"/>
  <c r="L25" i="5"/>
  <c r="D65" i="9"/>
  <c r="M65" i="9"/>
  <c r="J65" i="9"/>
  <c r="G65" i="9"/>
  <c r="F54" i="9"/>
  <c r="J57" i="3"/>
  <c r="I57" i="3"/>
  <c r="H57" i="3"/>
  <c r="D255" i="9"/>
  <c r="M255" i="9"/>
  <c r="J255" i="9"/>
  <c r="G255" i="9"/>
  <c r="G183" i="9"/>
  <c r="J183" i="9"/>
  <c r="D183" i="9"/>
  <c r="M183" i="9"/>
  <c r="C244" i="9"/>
  <c r="M212" i="9"/>
  <c r="J212" i="9"/>
  <c r="G212" i="9"/>
  <c r="D212" i="9"/>
  <c r="J146" i="9"/>
  <c r="M146" i="9"/>
  <c r="D146" i="9"/>
  <c r="G146" i="9"/>
  <c r="I66" i="3"/>
  <c r="H66" i="3"/>
  <c r="J66" i="3"/>
  <c r="M180" i="9"/>
  <c r="D180" i="9"/>
  <c r="G180" i="9"/>
  <c r="J180" i="9"/>
  <c r="M33" i="3"/>
  <c r="N33" i="3"/>
  <c r="L33" i="3"/>
  <c r="G84" i="9"/>
  <c r="J84" i="9"/>
  <c r="D84" i="9"/>
  <c r="M84" i="9"/>
  <c r="G200" i="9"/>
  <c r="M200" i="9"/>
  <c r="J200" i="9"/>
  <c r="D200" i="9"/>
  <c r="D268" i="9"/>
  <c r="J268" i="9"/>
  <c r="G268" i="9"/>
  <c r="M268" i="9"/>
  <c r="M178" i="9"/>
  <c r="G178" i="9"/>
  <c r="J178" i="9"/>
  <c r="D178" i="9"/>
  <c r="J190" i="9"/>
  <c r="M190" i="9"/>
  <c r="G190" i="9"/>
  <c r="D190" i="9"/>
  <c r="G76" i="9"/>
  <c r="D76" i="9"/>
  <c r="M76" i="9"/>
  <c r="J76" i="9"/>
  <c r="M213" i="9"/>
  <c r="D213" i="9"/>
  <c r="J213" i="9"/>
  <c r="G213" i="9"/>
  <c r="D155" i="9"/>
  <c r="J155" i="9"/>
  <c r="G155" i="9"/>
  <c r="M155" i="9"/>
  <c r="D142" i="9"/>
  <c r="M142" i="9"/>
  <c r="J142" i="9"/>
  <c r="G142" i="9"/>
  <c r="L12" i="3"/>
  <c r="N12" i="3"/>
  <c r="M12" i="3"/>
  <c r="M6" i="3"/>
  <c r="L6" i="3"/>
  <c r="N6" i="3"/>
  <c r="J113" i="9"/>
  <c r="G113" i="9"/>
  <c r="M113" i="9"/>
  <c r="D113" i="9"/>
  <c r="M242" i="9"/>
  <c r="D242" i="9"/>
  <c r="G242" i="9"/>
  <c r="J242" i="9"/>
  <c r="G221" i="9"/>
  <c r="J221" i="9"/>
  <c r="M221" i="9"/>
  <c r="D221" i="9"/>
  <c r="D123" i="9"/>
  <c r="J123" i="9"/>
  <c r="G123" i="9"/>
  <c r="M123" i="9"/>
  <c r="Q61" i="3"/>
  <c r="P61" i="3"/>
  <c r="R61" i="3"/>
  <c r="O168" i="9"/>
  <c r="N168" i="9" s="1"/>
  <c r="M12" i="9" s="1"/>
  <c r="R73" i="3"/>
  <c r="P73" i="3"/>
  <c r="Q73" i="3"/>
  <c r="M116" i="9"/>
  <c r="G116" i="9"/>
  <c r="J116" i="9"/>
  <c r="D116" i="9"/>
  <c r="J41" i="9"/>
  <c r="M41" i="9"/>
  <c r="D41" i="9"/>
  <c r="G41" i="9"/>
  <c r="J149" i="9"/>
  <c r="M149" i="9"/>
  <c r="G149" i="9"/>
  <c r="D149" i="9"/>
  <c r="L130" i="9"/>
  <c r="K130" i="9" s="1"/>
  <c r="J6" i="9" s="1"/>
  <c r="J265" i="9"/>
  <c r="G265" i="9"/>
  <c r="M265" i="9"/>
  <c r="D265" i="9"/>
  <c r="G264" i="9"/>
  <c r="M264" i="9"/>
  <c r="J264" i="9"/>
  <c r="D264" i="9"/>
  <c r="L38" i="3"/>
  <c r="M38" i="3"/>
  <c r="N38" i="3"/>
  <c r="F168" i="9"/>
  <c r="E168" i="9" s="1"/>
  <c r="D12" i="9" s="1"/>
  <c r="J47" i="9"/>
  <c r="M47" i="9"/>
  <c r="D47" i="9"/>
  <c r="G47" i="9"/>
  <c r="I68" i="3"/>
  <c r="H68" i="3"/>
  <c r="J68" i="3"/>
  <c r="L22" i="5"/>
  <c r="M22" i="5"/>
  <c r="N22" i="5"/>
  <c r="J62" i="3"/>
  <c r="H62" i="3"/>
  <c r="I62" i="3"/>
  <c r="J158" i="9"/>
  <c r="D158" i="9"/>
  <c r="G158" i="9"/>
  <c r="M158" i="9"/>
  <c r="M160" i="9"/>
  <c r="D160" i="9"/>
  <c r="J160" i="9"/>
  <c r="G160" i="9"/>
  <c r="P62" i="3"/>
  <c r="R62" i="3"/>
  <c r="Q62" i="3"/>
  <c r="O244" i="9"/>
  <c r="N244" i="9" s="1"/>
  <c r="M10" i="9" s="1"/>
  <c r="M238" i="9"/>
  <c r="D238" i="9"/>
  <c r="G238" i="9"/>
  <c r="J238" i="9"/>
  <c r="M233" i="9"/>
  <c r="D233" i="9"/>
  <c r="G233" i="9"/>
  <c r="J233" i="9"/>
  <c r="G79" i="9"/>
  <c r="M79" i="9"/>
  <c r="J79" i="9"/>
  <c r="D79" i="9"/>
  <c r="P64" i="3"/>
  <c r="R64" i="3"/>
  <c r="Q64" i="3"/>
  <c r="M25" i="9"/>
  <c r="G25" i="9"/>
  <c r="J25" i="9"/>
  <c r="D25" i="9"/>
  <c r="Q50" i="3"/>
  <c r="R50" i="3"/>
  <c r="P50" i="3"/>
  <c r="J185" i="9"/>
  <c r="M185" i="9"/>
  <c r="D185" i="9"/>
  <c r="G185" i="9"/>
  <c r="G216" i="9"/>
  <c r="D216" i="9"/>
  <c r="J216" i="9"/>
  <c r="M216" i="9"/>
  <c r="M111" i="9"/>
  <c r="G111" i="9"/>
  <c r="D111" i="9"/>
  <c r="J111" i="9"/>
  <c r="G274" i="9"/>
  <c r="J274" i="9"/>
  <c r="D274" i="9"/>
  <c r="M274" i="9"/>
  <c r="D235" i="9"/>
  <c r="J235" i="9"/>
  <c r="M235" i="9"/>
  <c r="G235" i="9"/>
  <c r="D164" i="9"/>
  <c r="J164" i="9"/>
  <c r="G164" i="9"/>
  <c r="M164" i="9"/>
  <c r="M21" i="3"/>
  <c r="N21" i="3"/>
  <c r="L21" i="3"/>
  <c r="M105" i="9"/>
  <c r="G105" i="9"/>
  <c r="D105" i="9"/>
  <c r="J105" i="9"/>
  <c r="M103" i="9"/>
  <c r="J103" i="9"/>
  <c r="G103" i="9"/>
  <c r="D103" i="9"/>
  <c r="O54" i="9"/>
  <c r="N54" i="9" s="1"/>
  <c r="M16" i="9" s="1"/>
  <c r="J117" i="9"/>
  <c r="G117" i="9"/>
  <c r="M117" i="9"/>
  <c r="D117" i="9"/>
  <c r="R74" i="3"/>
  <c r="Q74" i="3"/>
  <c r="P74" i="3"/>
  <c r="M177" i="9"/>
  <c r="J177" i="9"/>
  <c r="D177" i="9"/>
  <c r="G177" i="9"/>
  <c r="H40" i="3"/>
  <c r="J40" i="3"/>
  <c r="I40" i="3"/>
  <c r="M41" i="3"/>
  <c r="N41" i="3"/>
  <c r="L41" i="3"/>
  <c r="R59" i="3"/>
  <c r="P59" i="3"/>
  <c r="Q59" i="3"/>
  <c r="M15" i="3"/>
  <c r="N15" i="3"/>
  <c r="L15" i="3"/>
  <c r="D89" i="9"/>
  <c r="M89" i="9"/>
  <c r="G89" i="9"/>
  <c r="J89" i="9"/>
  <c r="R58" i="3"/>
  <c r="Q58" i="3"/>
  <c r="P58" i="3"/>
  <c r="N23" i="3"/>
  <c r="L23" i="3"/>
  <c r="M23" i="3"/>
  <c r="J182" i="9"/>
  <c r="G182" i="9"/>
  <c r="D182" i="9"/>
  <c r="M182" i="9"/>
  <c r="G275" i="9"/>
  <c r="D275" i="9"/>
  <c r="M275" i="9"/>
  <c r="J275" i="9"/>
  <c r="D50" i="9"/>
  <c r="M50" i="9"/>
  <c r="G50" i="9"/>
  <c r="J50" i="9"/>
  <c r="J230" i="9"/>
  <c r="M230" i="9"/>
  <c r="D230" i="9"/>
  <c r="G230" i="9"/>
  <c r="M62" i="3"/>
  <c r="L62" i="3"/>
  <c r="N62" i="3"/>
  <c r="D126" i="9"/>
  <c r="G126" i="9"/>
  <c r="M126" i="9"/>
  <c r="J126" i="9"/>
  <c r="D270" i="9"/>
  <c r="G270" i="9"/>
  <c r="M270" i="9"/>
  <c r="J270" i="9"/>
  <c r="M196" i="9"/>
  <c r="D196" i="9"/>
  <c r="G196" i="9"/>
  <c r="J196" i="9"/>
  <c r="M25" i="3"/>
  <c r="N25" i="3"/>
  <c r="L25" i="3"/>
  <c r="J174" i="9"/>
  <c r="M174" i="9"/>
  <c r="G174" i="9"/>
  <c r="C206" i="9"/>
  <c r="D174" i="9"/>
  <c r="M254" i="9"/>
  <c r="J254" i="9"/>
  <c r="G254" i="9"/>
  <c r="D254" i="9"/>
  <c r="R66" i="3"/>
  <c r="P66" i="3"/>
  <c r="Q66" i="3"/>
  <c r="J226" i="9"/>
  <c r="G226" i="9"/>
  <c r="D226" i="9"/>
  <c r="M226" i="9"/>
  <c r="M122" i="9"/>
  <c r="D122" i="9"/>
  <c r="J122" i="9"/>
  <c r="G122" i="9"/>
  <c r="G32" i="9"/>
  <c r="D32" i="9"/>
  <c r="J32" i="9"/>
  <c r="M32" i="9"/>
  <c r="D175" i="9"/>
  <c r="M175" i="9"/>
  <c r="G175" i="9"/>
  <c r="J175" i="9"/>
  <c r="J85" i="9"/>
  <c r="D85" i="9"/>
  <c r="G85" i="9"/>
  <c r="M85" i="9"/>
  <c r="M17" i="3"/>
  <c r="L17" i="3"/>
  <c r="N17" i="3"/>
  <c r="M69" i="3"/>
  <c r="N69" i="3"/>
  <c r="L69" i="3"/>
  <c r="I69" i="3"/>
  <c r="H69" i="3"/>
  <c r="J69" i="3"/>
  <c r="P43" i="3"/>
  <c r="Q43" i="3"/>
  <c r="R43" i="3"/>
  <c r="D148" i="9"/>
  <c r="M148" i="9"/>
  <c r="J148" i="9"/>
  <c r="G148" i="9"/>
  <c r="H44" i="3"/>
  <c r="J44" i="3"/>
  <c r="I44" i="3"/>
  <c r="H75" i="3"/>
  <c r="J75" i="3"/>
  <c r="I75" i="3"/>
  <c r="H61" i="3"/>
  <c r="I61" i="3"/>
  <c r="J61" i="3"/>
  <c r="J166" i="9"/>
  <c r="D166" i="9"/>
  <c r="M166" i="9"/>
  <c r="G166" i="9"/>
  <c r="L92" i="9"/>
  <c r="K92" i="9" s="1"/>
  <c r="J4" i="9" s="1"/>
  <c r="R33" i="3"/>
  <c r="Q33" i="3"/>
  <c r="P33" i="3"/>
  <c r="M88" i="9"/>
  <c r="G88" i="9"/>
  <c r="D88" i="9"/>
  <c r="J88" i="9"/>
  <c r="D192" i="9"/>
  <c r="G192" i="9"/>
  <c r="J192" i="9"/>
  <c r="M192" i="9"/>
  <c r="L74" i="3"/>
  <c r="N74" i="3"/>
  <c r="M74" i="3"/>
  <c r="G187" i="9"/>
  <c r="D187" i="9"/>
  <c r="J187" i="9"/>
  <c r="M187" i="9"/>
  <c r="M194" i="9"/>
  <c r="G194" i="9"/>
  <c r="D194" i="9"/>
  <c r="J194" i="9"/>
  <c r="P48" i="3"/>
  <c r="Q48" i="3"/>
  <c r="R48" i="3"/>
  <c r="D119" i="9"/>
  <c r="G119" i="9"/>
  <c r="M119" i="9"/>
  <c r="J119" i="9"/>
  <c r="L20" i="3"/>
  <c r="M20" i="3"/>
  <c r="N20" i="3"/>
  <c r="L282" i="9"/>
  <c r="K282" i="9" s="1"/>
  <c r="J14" i="9" s="1"/>
  <c r="M128" i="9"/>
  <c r="D128" i="9"/>
  <c r="J128" i="9"/>
  <c r="G128" i="9"/>
  <c r="J112" i="9"/>
  <c r="G112" i="9"/>
  <c r="D112" i="9"/>
  <c r="M112" i="9"/>
  <c r="L206" i="9"/>
  <c r="K206" i="9" s="1"/>
  <c r="J8" i="9" s="1"/>
  <c r="M7" i="5"/>
  <c r="N7" i="5"/>
  <c r="L7" i="5"/>
  <c r="J195" i="9"/>
  <c r="M195" i="9"/>
  <c r="D195" i="9"/>
  <c r="G195" i="9"/>
  <c r="P70" i="3"/>
  <c r="R70" i="3"/>
  <c r="Q70" i="3"/>
  <c r="H67" i="3"/>
  <c r="J67" i="3"/>
  <c r="I67" i="3"/>
  <c r="Q41" i="3"/>
  <c r="R41" i="3"/>
  <c r="P41" i="3"/>
  <c r="P36" i="3"/>
  <c r="R36" i="3"/>
  <c r="Q36" i="3"/>
  <c r="L61" i="3"/>
  <c r="N61" i="3"/>
  <c r="M61" i="3"/>
  <c r="N72" i="3"/>
  <c r="L72" i="3"/>
  <c r="M72" i="3"/>
  <c r="M19" i="3"/>
  <c r="L19" i="3"/>
  <c r="N19" i="3"/>
  <c r="N46" i="3"/>
  <c r="M46" i="3"/>
  <c r="L46" i="3"/>
  <c r="G278" i="9"/>
  <c r="D278" i="9"/>
  <c r="M278" i="9"/>
  <c r="J278" i="9"/>
  <c r="N66" i="3"/>
  <c r="L66" i="3"/>
  <c r="M66" i="3"/>
  <c r="D104" i="9"/>
  <c r="G104" i="9"/>
  <c r="M104" i="9"/>
  <c r="J104" i="9"/>
  <c r="J257" i="9"/>
  <c r="D257" i="9"/>
  <c r="G257" i="9"/>
  <c r="M257" i="9"/>
  <c r="G102" i="9"/>
  <c r="D102" i="9"/>
  <c r="J102" i="9"/>
  <c r="M102" i="9"/>
  <c r="I130" i="9"/>
  <c r="H130" i="9" s="1"/>
  <c r="G6" i="9" s="1"/>
  <c r="J106" i="9"/>
  <c r="D106" i="9"/>
  <c r="M106" i="9"/>
  <c r="G106" i="9"/>
  <c r="H42" i="3"/>
  <c r="J42" i="3"/>
  <c r="I42" i="3"/>
  <c r="M31" i="3"/>
  <c r="L31" i="3"/>
  <c r="N31" i="3"/>
  <c r="L168" i="9"/>
  <c r="K168" i="9" s="1"/>
  <c r="J12" i="9" s="1"/>
  <c r="G225" i="9"/>
  <c r="M225" i="9"/>
  <c r="J225" i="9"/>
  <c r="D225" i="9"/>
  <c r="L64" i="3"/>
  <c r="M64" i="3"/>
  <c r="N64" i="3"/>
  <c r="D231" i="9"/>
  <c r="J231" i="9"/>
  <c r="M231" i="9"/>
  <c r="G231" i="9"/>
  <c r="F92" i="9"/>
  <c r="E92" i="9" s="1"/>
  <c r="D4" i="9" s="1"/>
  <c r="J139" i="9"/>
  <c r="D139" i="9"/>
  <c r="M139" i="9"/>
  <c r="G139" i="9"/>
  <c r="R47" i="3"/>
  <c r="Q47" i="3"/>
  <c r="P47" i="3"/>
  <c r="J258" i="9"/>
  <c r="D258" i="9"/>
  <c r="M258" i="9"/>
  <c r="G258" i="9"/>
  <c r="G101" i="9"/>
  <c r="M101" i="9"/>
  <c r="J101" i="9"/>
  <c r="D101" i="9"/>
  <c r="I168" i="9"/>
  <c r="H168" i="9" s="1"/>
  <c r="G12" i="9" s="1"/>
  <c r="D48" i="9"/>
  <c r="G48" i="9"/>
  <c r="J48" i="9"/>
  <c r="M48" i="9"/>
  <c r="L11" i="5"/>
  <c r="N11" i="5"/>
  <c r="M11" i="5"/>
  <c r="L68" i="3"/>
  <c r="M68" i="3"/>
  <c r="N68" i="3"/>
  <c r="L20" i="5"/>
  <c r="N20" i="5"/>
  <c r="M20" i="5"/>
  <c r="R39" i="3"/>
  <c r="Q39" i="3"/>
  <c r="P39" i="3"/>
  <c r="M80" i="9"/>
  <c r="G80" i="9"/>
  <c r="J80" i="9"/>
  <c r="D80" i="9"/>
  <c r="L58" i="3"/>
  <c r="M58" i="3"/>
  <c r="N58" i="3"/>
  <c r="F206" i="9"/>
  <c r="E206" i="9" s="1"/>
  <c r="D8" i="9" s="1"/>
  <c r="M67" i="3"/>
  <c r="N67" i="3"/>
  <c r="L67" i="3"/>
  <c r="J276" i="9"/>
  <c r="M276" i="9"/>
  <c r="G276" i="9"/>
  <c r="D276" i="9"/>
  <c r="M73" i="3"/>
  <c r="L73" i="3"/>
  <c r="N73" i="3"/>
  <c r="N63" i="3"/>
  <c r="M63" i="3"/>
  <c r="L63" i="3"/>
  <c r="G204" i="9"/>
  <c r="J204" i="9"/>
  <c r="D204" i="9"/>
  <c r="M204" i="9"/>
  <c r="D36" i="9"/>
  <c r="J36" i="9"/>
  <c r="M36" i="9"/>
  <c r="G36" i="9"/>
  <c r="J252" i="9"/>
  <c r="M252" i="9"/>
  <c r="D252" i="9"/>
  <c r="G252" i="9"/>
  <c r="M263" i="9"/>
  <c r="D263" i="9"/>
  <c r="J263" i="9"/>
  <c r="G263" i="9"/>
  <c r="N48" i="3"/>
  <c r="M48" i="3"/>
  <c r="L48" i="3"/>
  <c r="M199" i="9"/>
  <c r="D199" i="9"/>
  <c r="J199" i="9"/>
  <c r="G199" i="9"/>
  <c r="M157" i="9"/>
  <c r="D157" i="9"/>
  <c r="G157" i="9"/>
  <c r="J157" i="9"/>
  <c r="M42" i="3"/>
  <c r="L42" i="3"/>
  <c r="N42" i="3"/>
  <c r="D51" i="9"/>
  <c r="G51" i="9"/>
  <c r="J51" i="9"/>
  <c r="M51" i="9"/>
  <c r="D222" i="9"/>
  <c r="M222" i="9"/>
  <c r="G222" i="9"/>
  <c r="J222" i="9"/>
  <c r="J35" i="9"/>
  <c r="M35" i="9"/>
  <c r="G35" i="9"/>
  <c r="D35" i="9"/>
  <c r="G69" i="9"/>
  <c r="D69" i="9"/>
  <c r="J69" i="9"/>
  <c r="M69" i="9"/>
  <c r="H39" i="3"/>
  <c r="I39" i="3"/>
  <c r="J39" i="3"/>
  <c r="O130" i="9"/>
  <c r="N130" i="9" s="1"/>
  <c r="M6" i="9" s="1"/>
  <c r="J81" i="9"/>
  <c r="G81" i="9"/>
  <c r="M81" i="9"/>
  <c r="D81" i="9"/>
  <c r="D37" i="9"/>
  <c r="J37" i="9"/>
  <c r="M37" i="9"/>
  <c r="G37" i="9"/>
  <c r="J237" i="9"/>
  <c r="G237" i="9"/>
  <c r="M237" i="9"/>
  <c r="D237" i="9"/>
  <c r="J232" i="9"/>
  <c r="G232" i="9"/>
  <c r="M232" i="9"/>
  <c r="D232" i="9"/>
  <c r="L65" i="3"/>
  <c r="M65" i="3"/>
  <c r="N65" i="3"/>
  <c r="M279" i="9"/>
  <c r="D279" i="9"/>
  <c r="G279" i="9"/>
  <c r="J279" i="9"/>
  <c r="P42" i="3"/>
  <c r="Q42" i="3"/>
  <c r="R42" i="3"/>
  <c r="G203" i="9"/>
  <c r="M203" i="9"/>
  <c r="J203" i="9"/>
  <c r="D203" i="9"/>
  <c r="M40" i="9"/>
  <c r="G40" i="9"/>
  <c r="J40" i="9"/>
  <c r="D40" i="9"/>
  <c r="J31" i="9"/>
  <c r="D31" i="9"/>
  <c r="G31" i="9"/>
  <c r="M31" i="9"/>
  <c r="J43" i="3"/>
  <c r="H43" i="3"/>
  <c r="I43" i="3"/>
  <c r="L10" i="5"/>
  <c r="M10" i="5"/>
  <c r="N10" i="5"/>
  <c r="G110" i="9"/>
  <c r="J110" i="9"/>
  <c r="D110" i="9"/>
  <c r="M110" i="9"/>
  <c r="M259" i="9"/>
  <c r="J259" i="9"/>
  <c r="D259" i="9"/>
  <c r="G259" i="9"/>
  <c r="P75" i="3"/>
  <c r="R75" i="3"/>
  <c r="Q75" i="3"/>
  <c r="M176" i="9"/>
  <c r="D176" i="9"/>
  <c r="J176" i="9"/>
  <c r="G176" i="9"/>
  <c r="M35" i="3"/>
  <c r="N35" i="3"/>
  <c r="L35" i="3"/>
  <c r="N18" i="5"/>
  <c r="L18" i="5"/>
  <c r="M18" i="5"/>
  <c r="D198" i="9"/>
  <c r="G198" i="9"/>
  <c r="M198" i="9"/>
  <c r="J198" i="9"/>
  <c r="J181" i="9"/>
  <c r="D181" i="9"/>
  <c r="M181" i="9"/>
  <c r="G181" i="9"/>
  <c r="P60" i="3"/>
  <c r="Q60" i="3"/>
  <c r="R60" i="3"/>
  <c r="L244" i="9"/>
  <c r="K244" i="9" s="1"/>
  <c r="J10" i="9" s="1"/>
  <c r="G87" i="9"/>
  <c r="J87" i="9"/>
  <c r="D87" i="9"/>
  <c r="M87" i="9"/>
  <c r="M90" i="9"/>
  <c r="J90" i="9"/>
  <c r="D90" i="9"/>
  <c r="G90" i="9"/>
  <c r="G239" i="9"/>
  <c r="M239" i="9"/>
  <c r="D239" i="9"/>
  <c r="J239" i="9"/>
  <c r="G229" i="9"/>
  <c r="M229" i="9"/>
  <c r="J229" i="9"/>
  <c r="D229" i="9"/>
  <c r="J159" i="9"/>
  <c r="G159" i="9"/>
  <c r="D159" i="9"/>
  <c r="M159" i="9"/>
  <c r="D280" i="9"/>
  <c r="M280" i="9"/>
  <c r="G280" i="9"/>
  <c r="J280" i="9"/>
  <c r="J39" i="9"/>
  <c r="G39" i="9"/>
  <c r="M39" i="9"/>
  <c r="D39" i="9"/>
  <c r="Q71" i="3"/>
  <c r="P71" i="3"/>
  <c r="R71" i="3"/>
  <c r="D27" i="9"/>
  <c r="G27" i="9"/>
  <c r="M27" i="9"/>
  <c r="J27" i="9"/>
  <c r="N14" i="5"/>
  <c r="M14" i="5"/>
  <c r="L14" i="5"/>
  <c r="N13" i="3"/>
  <c r="L13" i="3"/>
  <c r="M13" i="3"/>
  <c r="G201" i="9"/>
  <c r="J201" i="9"/>
  <c r="M201" i="9"/>
  <c r="D201" i="9"/>
  <c r="M6" i="5"/>
  <c r="L6" i="5"/>
  <c r="N6" i="5"/>
  <c r="G144" i="9"/>
  <c r="D144" i="9"/>
  <c r="J144" i="9"/>
  <c r="M144" i="9"/>
  <c r="M121" i="9"/>
  <c r="J121" i="9"/>
  <c r="G121" i="9"/>
  <c r="D121" i="9"/>
  <c r="M141" i="9"/>
  <c r="G141" i="9"/>
  <c r="D141" i="9"/>
  <c r="J141" i="9"/>
  <c r="J98" i="9"/>
  <c r="D98" i="9"/>
  <c r="M98" i="9"/>
  <c r="G98" i="9"/>
  <c r="C130" i="9"/>
  <c r="G261" i="9"/>
  <c r="J261" i="9"/>
  <c r="M261" i="9"/>
  <c r="D261" i="9"/>
  <c r="L37" i="3"/>
  <c r="M37" i="3"/>
  <c r="N37" i="3"/>
  <c r="J151" i="9"/>
  <c r="M151" i="9"/>
  <c r="G151" i="9"/>
  <c r="D151" i="9"/>
  <c r="M224" i="9"/>
  <c r="G224" i="9"/>
  <c r="J224" i="9"/>
  <c r="D224" i="9"/>
  <c r="R35" i="3"/>
  <c r="Q35" i="3"/>
  <c r="P35" i="3"/>
  <c r="M140" i="9"/>
  <c r="D140" i="9"/>
  <c r="J140" i="9"/>
  <c r="G140" i="9"/>
  <c r="C168" i="9"/>
  <c r="J136" i="9"/>
  <c r="D136" i="9"/>
  <c r="M136" i="9"/>
  <c r="G136" i="9"/>
  <c r="G52" i="9"/>
  <c r="M52" i="9"/>
  <c r="J52" i="9"/>
  <c r="D52" i="9"/>
  <c r="D78" i="9"/>
  <c r="J78" i="9"/>
  <c r="M78" i="9"/>
  <c r="G78" i="9"/>
  <c r="D162" i="9"/>
  <c r="J162" i="9"/>
  <c r="G162" i="9"/>
  <c r="M162" i="9"/>
  <c r="J202" i="9"/>
  <c r="D202" i="9"/>
  <c r="G202" i="9"/>
  <c r="M202" i="9"/>
  <c r="H32" i="3"/>
  <c r="I32" i="3"/>
  <c r="J32" i="3"/>
  <c r="J42" i="9"/>
  <c r="G42" i="9"/>
  <c r="D42" i="9"/>
  <c r="M42" i="9"/>
  <c r="J154" i="9"/>
  <c r="D154" i="9"/>
  <c r="G154" i="9"/>
  <c r="M154" i="9"/>
  <c r="H64" i="3"/>
  <c r="I64" i="3"/>
  <c r="J64" i="3"/>
  <c r="J73" i="3"/>
  <c r="I73" i="3"/>
  <c r="H73" i="3"/>
  <c r="J31" i="3"/>
  <c r="I31" i="3"/>
  <c r="H31" i="3"/>
  <c r="D267" i="9"/>
  <c r="J267" i="9"/>
  <c r="M267" i="9"/>
  <c r="G267" i="9"/>
  <c r="I37" i="3"/>
  <c r="H37" i="3"/>
  <c r="J37" i="3"/>
  <c r="M70" i="3"/>
  <c r="L70" i="3"/>
  <c r="N70" i="3"/>
  <c r="D61" i="9"/>
  <c r="G61" i="9"/>
  <c r="M61" i="9"/>
  <c r="J61" i="9"/>
  <c r="M21" i="5"/>
  <c r="N21" i="5"/>
  <c r="L21" i="5"/>
  <c r="P63" i="3"/>
  <c r="R63" i="3"/>
  <c r="Q63" i="3"/>
  <c r="Q56" i="3"/>
  <c r="P56" i="3"/>
  <c r="R56" i="3"/>
  <c r="M12" i="5"/>
  <c r="N12" i="5"/>
  <c r="L12" i="5"/>
  <c r="D82" i="9"/>
  <c r="J82" i="9"/>
  <c r="G82" i="9"/>
  <c r="M82" i="9"/>
  <c r="J223" i="9"/>
  <c r="M223" i="9"/>
  <c r="D223" i="9"/>
  <c r="G223" i="9"/>
  <c r="H74" i="3"/>
  <c r="I74" i="3"/>
  <c r="J74" i="3"/>
  <c r="G220" i="9"/>
  <c r="D220" i="9"/>
  <c r="J220" i="9"/>
  <c r="M220" i="9"/>
  <c r="M60" i="3"/>
  <c r="N60" i="3"/>
  <c r="L60" i="3"/>
  <c r="I282" i="9"/>
  <c r="H282" i="9" s="1"/>
  <c r="G14" i="9" s="1"/>
  <c r="M49" i="3"/>
  <c r="N49" i="3"/>
  <c r="L49" i="3"/>
  <c r="I244" i="9"/>
  <c r="H244" i="9" s="1"/>
  <c r="G10" i="9" s="1"/>
  <c r="R32" i="3"/>
  <c r="Q32" i="3"/>
  <c r="P32" i="3"/>
  <c r="D77" i="9"/>
  <c r="M77" i="9"/>
  <c r="G77" i="9"/>
  <c r="J77" i="9"/>
  <c r="M24" i="9"/>
  <c r="D24" i="9"/>
  <c r="J24" i="9"/>
  <c r="G24" i="9"/>
  <c r="L19" i="5"/>
  <c r="N19" i="5"/>
  <c r="M19" i="5"/>
  <c r="M18" i="3"/>
  <c r="L18" i="3"/>
  <c r="N18" i="3"/>
  <c r="H41" i="3"/>
  <c r="J41" i="3"/>
  <c r="I41" i="3"/>
  <c r="M130" i="9" l="1"/>
  <c r="M168" i="9"/>
  <c r="J206" i="9"/>
  <c r="G54" i="9"/>
  <c r="D168" i="9"/>
  <c r="D130" i="9"/>
  <c r="J244" i="9"/>
  <c r="D282" i="9"/>
  <c r="M92" i="9"/>
  <c r="D206" i="9"/>
  <c r="G244" i="9"/>
  <c r="M282" i="9"/>
  <c r="J168" i="9"/>
  <c r="J130" i="9"/>
  <c r="G206" i="9"/>
  <c r="M244" i="9"/>
  <c r="G282" i="9"/>
  <c r="J54" i="9"/>
  <c r="D54" i="9"/>
  <c r="J92" i="9"/>
  <c r="D92" i="9"/>
  <c r="G168" i="9"/>
  <c r="G130" i="9"/>
  <c r="M206" i="9"/>
  <c r="D244" i="9"/>
  <c r="E54" i="9"/>
  <c r="D16" i="9" s="1"/>
  <c r="B12" i="9" s="1"/>
  <c r="B10" i="9"/>
  <c r="B9" i="9"/>
  <c r="J282" i="9"/>
  <c r="M54" i="9"/>
  <c r="G92" i="9"/>
  <c r="B4" i="9" l="1"/>
  <c r="B6" i="9"/>
  <c r="B15" i="9"/>
  <c r="B7" i="9"/>
  <c r="B8" i="9"/>
  <c r="B14" i="9"/>
  <c r="B13" i="9"/>
  <c r="B16" i="9"/>
  <c r="B5" i="9"/>
  <c r="B3" i="9"/>
  <c r="B11" i="9"/>
</calcChain>
</file>

<file path=xl/sharedStrings.xml><?xml version="1.0" encoding="utf-8"?>
<sst xmlns="http://schemas.openxmlformats.org/spreadsheetml/2006/main" count="7293" uniqueCount="408">
  <si>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</si>
  <si>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</si>
  <si>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</si>
  <si>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</si>
  <si>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</si>
  <si>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</si>
  <si>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</si>
  <si>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</si>
  <si>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</si>
  <si>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</si>
  <si>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</si>
  <si>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</si>
  <si>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</si>
  <si>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</si>
  <si>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</si>
  <si>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</si>
  <si>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</si>
  <si>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</si>
  <si>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</si>
  <si>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</si>
  <si>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</si>
  <si>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</si>
  <si>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</si>
  <si>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</si>
  <si>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</si>
  <si>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</si>
  <si>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</si>
  <si>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</si>
  <si>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</si>
  <si>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</si>
  <si>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</si>
  <si>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</si>
  <si>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</si>
  <si>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</si>
  <si>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</si>
  <si>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</si>
  <si>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</si>
  <si>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</si>
  <si>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</si>
  <si>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</si>
  <si>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</si>
  <si>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</si>
  <si>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</si>
  <si>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</si>
  <si>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</si>
  <si>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</si>
  <si>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</si>
  <si>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</si>
  <si>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</si>
  <si>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</si>
  <si>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</si>
  <si>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</si>
  <si>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</si>
  <si>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</si>
  <si>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</si>
  <si>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</si>
  <si>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</si>
  <si>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</si>
  <si>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</si>
  <si>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</si>
  <si>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</si>
  <si>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</si>
  <si>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</si>
  <si>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</si>
  <si>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</si>
  <si>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</si>
  <si>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</si>
  <si>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</si>
  <si>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</si>
  <si>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</si>
  <si>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</si>
  <si>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</si>
  <si>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</si>
  <si>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</si>
  <si>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</si>
  <si>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</si>
  <si>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</si>
  <si>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</si>
  <si>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</si>
  <si>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</si>
  <si>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</si>
  <si>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</si>
  <si>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</si>
  <si>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</si>
  <si>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</si>
  <si>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</si>
  <si>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</si>
  <si>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</si>
  <si>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</si>
  <si>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</si>
  <si>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</si>
  <si>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</si>
  <si>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</si>
  <si>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</si>
  <si>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</si>
  <si>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</si>
  <si>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</si>
  <si>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</si>
  <si>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</si>
  <si>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</si>
  <si>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</si>
  <si>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</si>
  <si>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</si>
  <si>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</si>
  <si>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</si>
  <si>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</si>
  <si>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</si>
  <si>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</si>
  <si>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</si>
  <si>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</si>
  <si>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</si>
  <si>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</si>
  <si>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</si>
  <si>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</si>
  <si>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</si>
  <si>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</si>
  <si>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</si>
  <si>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</si>
  <si>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</si>
  <si>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</si>
  <si>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</si>
  <si>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</si>
  <si>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</si>
  <si>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</si>
  <si>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</si>
  <si>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</si>
  <si>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</si>
  <si>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</si>
  <si>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</si>
  <si>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</si>
  <si>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</si>
  <si>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</si>
  <si>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</si>
  <si>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</si>
  <si>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</si>
  <si>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</si>
  <si>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</si>
  <si>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</si>
  <si>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</si>
  <si>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</si>
  <si>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</si>
  <si>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</si>
  <si>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</si>
  <si>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</si>
  <si>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</si>
  <si>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</si>
  <si>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</si>
  <si>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</si>
  <si>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</si>
  <si>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</si>
  <si>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</si>
  <si>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</si>
  <si>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</si>
  <si>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</si>
  <si>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</si>
  <si>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</si>
  <si>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</si>
  <si>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</si>
  <si>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</si>
  <si>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</si>
  <si>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</si>
  <si>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</si>
  <si>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</si>
  <si>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</si>
  <si>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</si>
  <si>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</si>
  <si>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</si>
  <si>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</si>
  <si>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</si>
  <si>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</si>
  <si>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</si>
  <si>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</si>
  <si>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</si>
  <si>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</si>
  <si>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</si>
  <si>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</si>
  <si>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</si>
  <si>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</si>
  <si>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</si>
  <si>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</si>
  <si>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</si>
  <si>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</si>
  <si>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</si>
  <si>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</si>
  <si>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</si>
  <si>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</si>
  <si>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</si>
  <si>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</si>
  <si>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</si>
  <si>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</si>
  <si>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</si>
  <si>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</si>
  <si>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</si>
  <si>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</si>
  <si>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</si>
  <si>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</si>
  <si>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</si>
  <si>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</si>
  <si>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</si>
  <si>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</si>
  <si>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</si>
  <si>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</si>
  <si>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</si>
  <si>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</si>
  <si>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</si>
  <si>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</si>
  <si>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</si>
  <si>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</si>
  <si>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</si>
  <si>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</si>
  <si>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</si>
  <si>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</si>
  <si>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</si>
  <si>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</si>
  <si>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</si>
  <si>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</si>
  <si>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</si>
  <si>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</si>
  <si>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</si>
  <si>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</si>
  <si>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</si>
  <si>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</si>
  <si>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</si>
  <si>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</si>
  <si>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</si>
  <si>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</si>
  <si>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</si>
  <si>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</si>
  <si>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</si>
  <si>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</si>
  <si>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</si>
  <si>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</si>
  <si>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</si>
  <si>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</si>
  <si>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</si>
  <si>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</si>
  <si>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</si>
  <si>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</si>
  <si>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</si>
  <si>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</si>
  <si>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</si>
  <si>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</si>
  <si>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</si>
  <si>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</si>
  <si>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</si>
  <si>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</si>
  <si>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</si>
  <si>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</si>
  <si>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</si>
  <si>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</si>
  <si>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</si>
  <si>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</si>
  <si>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</si>
  <si>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</si>
  <si>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</si>
  <si>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</si>
  <si>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</si>
  <si>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</si>
  <si>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</si>
  <si>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</si>
  <si>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</si>
  <si>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</si>
  <si>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</si>
  <si>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</si>
  <si>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</si>
  <si>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</si>
  <si>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</si>
  <si>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</si>
  <si>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</si>
  <si>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</si>
  <si>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</si>
  <si>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</si>
  <si>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</si>
  <si>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</si>
  <si>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</si>
  <si>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</si>
  <si>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</si>
  <si>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</si>
  <si>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</si>
  <si>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</si>
  <si>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</si>
  <si>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</si>
  <si>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</si>
  <si>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</si>
  <si>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</si>
  <si>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</si>
  <si>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</si>
  <si>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</si>
  <si>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</si>
  <si>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</si>
  <si>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</si>
  <si>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</si>
  <si>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</si>
  <si>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</si>
  <si>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</si>
  <si>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</si>
  <si>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</si>
  <si>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/>
  </si>
  <si>
    <t>코인명검색</t>
  </si>
  <si>
    <t>상승률</t>
  </si>
  <si>
    <t>평가손익</t>
  </si>
  <si>
    <t>매수금액</t>
  </si>
  <si>
    <t>합계</t>
  </si>
  <si>
    <t>오브스</t>
    <phoneticPr fontId="1" type="noConversion"/>
  </si>
  <si>
    <t>폴리매쓰</t>
    <phoneticPr fontId="1" type="noConversion"/>
  </si>
  <si>
    <t>헤데라해시그래프</t>
    <phoneticPr fontId="1" type="noConversion"/>
  </si>
  <si>
    <t>헌트</t>
    <phoneticPr fontId="1" type="noConversion"/>
  </si>
  <si>
    <t>비체인</t>
    <phoneticPr fontId="1" type="noConversion"/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</si>
  <si>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</si>
  <si>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</si>
  <si>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</si>
  <si>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</si>
  <si>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</si>
  <si>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</si>
  <si>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</si>
  <si>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</si>
  <si>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</si>
  <si>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</si>
  <si>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</si>
  <si>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</si>
  <si>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</si>
  <si>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스톰엑스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</si>
  <si>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</si>
  <si>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</si>
  <si>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</si>
  <si>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</si>
  <si>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</si>
  <si>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</si>
  <si>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</si>
  <si>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</si>
  <si>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</si>
  <si>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</si>
  <si>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</si>
  <si>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</si>
  <si>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</si>
  <si>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</si>
  <si>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</si>
  <si>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</si>
  <si>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</si>
  <si>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</si>
  <si>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</si>
  <si>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</si>
  <si>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</si>
  <si>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</si>
  <si>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</si>
  <si>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</si>
  <si>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</si>
  <si>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</si>
  <si>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</si>
  <si>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</si>
  <si>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</si>
  <si>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</si>
  <si>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</si>
  <si>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</si>
  <si>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</si>
  <si>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리스크</t>
    <phoneticPr fontId="1" type="noConversion"/>
  </si>
  <si>
    <t>보라</t>
    <phoneticPr fontId="1" type="noConversion"/>
  </si>
  <si>
    <t>코스모스</t>
    <phoneticPr fontId="1" type="noConversion"/>
  </si>
  <si>
    <t>아이콘</t>
    <phoneticPr fontId="1" type="noConversion"/>
  </si>
  <si>
    <t>아크</t>
    <phoneticPr fontId="1" type="noConversion"/>
  </si>
  <si>
    <t>엠블</t>
    <phoneticPr fontId="1" type="noConversion"/>
  </si>
  <si>
    <t>디카르고</t>
    <phoneticPr fontId="1" type="noConversion"/>
  </si>
  <si>
    <t>스트라티스</t>
    <phoneticPr fontId="1" type="noConversion"/>
  </si>
  <si>
    <t>캐리프로토콜</t>
    <phoneticPr fontId="1" type="noConversion"/>
  </si>
  <si>
    <t>센티넬프로토콜</t>
    <phoneticPr fontId="1" type="noConversion"/>
  </si>
  <si>
    <t>아하토큰</t>
    <phoneticPr fontId="1" type="noConversion"/>
  </si>
  <si>
    <t>옵저버</t>
    <phoneticPr fontId="1" type="noConversion"/>
  </si>
  <si>
    <t>아이오에스티</t>
    <phoneticPr fontId="1" type="noConversion"/>
  </si>
  <si>
    <t>엘프</t>
    <phoneticPr fontId="1" type="noConversion"/>
  </si>
  <si>
    <t>모스코인</t>
    <phoneticPr fontId="1" type="noConversion"/>
  </si>
  <si>
    <t>마로</t>
    <phoneticPr fontId="1" type="noConversion"/>
  </si>
  <si>
    <t>무비블록</t>
    <phoneticPr fontId="1" type="noConversion"/>
  </si>
  <si>
    <t>메타디움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</si>
  <si>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</si>
  <si>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</si>
  <si>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11:00~19:00 사이에 상승한다.(관망)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</si>
  <si>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</si>
  <si>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</si>
  <si>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</si>
  <si>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</si>
  <si>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</si>
  <si>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</si>
  <si>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</si>
  <si>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</si>
  <si>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</si>
  <si>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코모도</t>
    <phoneticPr fontId="1" type="noConversion"/>
  </si>
  <si>
    <t>스팀</t>
    <phoneticPr fontId="1" type="noConversion"/>
  </si>
  <si>
    <t>파워렛저</t>
    <phoneticPr fontId="1" type="noConversion"/>
  </si>
  <si>
    <t>쎄타토큰</t>
    <phoneticPr fontId="1" type="noConversion"/>
  </si>
  <si>
    <t>세럼</t>
    <phoneticPr fontId="1" type="noConversion"/>
  </si>
  <si>
    <t>메탈</t>
    <phoneticPr fontId="1" type="noConversion"/>
  </si>
  <si>
    <t>던프로토콜</t>
    <phoneticPr fontId="1" type="noConversion"/>
  </si>
  <si>
    <t>이더리움</t>
    <phoneticPr fontId="1" type="noConversion"/>
  </si>
  <si>
    <t>스토리지</t>
    <phoneticPr fontId="1" type="noConversion"/>
  </si>
  <si>
    <t>스팀달러</t>
    <phoneticPr fontId="1" type="noConversion"/>
  </si>
  <si>
    <t>하이브</t>
    <phoneticPr fontId="1" type="noConversion"/>
  </si>
  <si>
    <t>그로스톨코인</t>
    <phoneticPr fontId="1" type="noConversion"/>
  </si>
  <si>
    <t>펀디엑스</t>
    <phoneticPr fontId="1" type="noConversion"/>
  </si>
  <si>
    <t>시빅</t>
    <phoneticPr fontId="1" type="noConversion"/>
  </si>
  <si>
    <t>도지코인</t>
    <phoneticPr fontId="1" type="noConversion"/>
  </si>
  <si>
    <t>골렘</t>
    <phoneticPr fontId="1" type="noConversion"/>
  </si>
  <si>
    <t>베이직어텐션토큰</t>
    <phoneticPr fontId="1" type="noConversion"/>
  </si>
  <si>
    <t>질리카</t>
    <phoneticPr fontId="1" type="noConversion"/>
  </si>
  <si>
    <t>엔도르</t>
    <phoneticPr fontId="1" type="noConversion"/>
  </si>
  <si>
    <t>플레이댑</t>
    <phoneticPr fontId="1" type="noConversion"/>
  </si>
  <si>
    <t>2021.05.15</t>
    <phoneticPr fontId="1" type="noConversion"/>
  </si>
  <si>
    <t>솔브케어</t>
    <phoneticPr fontId="1" type="noConversion"/>
  </si>
  <si>
    <t>2021.05.16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</si>
</sst>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40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80" fontId="3" fillId="0" borderId="1" xfId="0" applyNumberFormat="1" applyFont="1" applyBorder="1" applyAlignment="1">
      <alignment vertical="center"/>
    </xf>
    <xf numFmtId="180" fontId="3" fillId="0" borderId="3" xfId="0" applyNumberFormat="1" applyFont="1" applyBorder="1" applyAlignment="1">
      <alignment vertical="center"/>
    </xf>
    <xf numFmtId="0" fontId="3" fillId="0" borderId="24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7" fontId="3" fillId="0" borderId="12" xfId="0" applyNumberFormat="1" applyFont="1" applyBorder="1" applyAlignment="1">
      <alignment horizontal="center" vertical="center"/>
    </xf>
    <xf numFmtId="177" fontId="3" fillId="0" borderId="19" xfId="0" applyNumberFormat="1" applyFont="1" applyBorder="1" applyAlignment="1">
      <alignment horizontal="center" vertical="center"/>
    </xf>
    <xf numFmtId="178" fontId="3" fillId="0" borderId="12" xfId="0" applyNumberFormat="1" applyFont="1" applyBorder="1" applyAlignment="1">
      <alignment horizontal="right" vertical="center"/>
    </xf>
    <xf numFmtId="178" fontId="3" fillId="0" borderId="19" xfId="0" applyNumberFormat="1" applyFont="1" applyBorder="1" applyAlignment="1">
      <alignment horizontal="right" vertical="center"/>
    </xf>
    <xf numFmtId="180" fontId="3" fillId="0" borderId="9" xfId="0" applyNumberFormat="1" applyFont="1" applyBorder="1" applyAlignment="1">
      <alignment horizontal="right" vertical="center"/>
    </xf>
    <xf numFmtId="180" fontId="3" fillId="0" borderId="0" xfId="0" applyNumberFormat="1" applyFont="1" applyBorder="1" applyAlignment="1">
      <alignment horizontal="right" vertical="center"/>
    </xf>
    <xf numFmtId="180" fontId="3" fillId="0" borderId="29" xfId="0" applyNumberFormat="1" applyFont="1" applyBorder="1" applyAlignment="1">
      <alignment horizontal="right" vertical="center"/>
    </xf>
    <xf numFmtId="180" fontId="3" fillId="0" borderId="28" xfId="0" applyNumberFormat="1" applyFont="1" applyBorder="1" applyAlignment="1">
      <alignment horizontal="right" vertical="center"/>
    </xf>
    <xf numFmtId="180" fontId="3" fillId="0" borderId="32" xfId="0" applyNumberFormat="1" applyFont="1" applyBorder="1" applyAlignment="1">
      <alignment horizontal="right" vertical="center"/>
    </xf>
    <xf numFmtId="180" fontId="3" fillId="0" borderId="33" xfId="0" applyNumberFormat="1" applyFont="1" applyBorder="1" applyAlignment="1">
      <alignment horizontal="right" vertical="center"/>
    </xf>
    <xf numFmtId="180" fontId="3" fillId="0" borderId="18" xfId="0" applyNumberFormat="1" applyFont="1" applyBorder="1" applyAlignment="1">
      <alignment horizontal="right" vertical="center"/>
    </xf>
    <xf numFmtId="180" fontId="3" fillId="0" borderId="3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9" fillId="0" borderId="21" xfId="0" applyFont="1" applyBorder="1" applyAlignment="1">
      <alignment horizontal="left" vertical="center"/>
    </xf>
    <xf numFmtId="0" fontId="9" fillId="0" borderId="22" xfId="0" applyFont="1" applyBorder="1" applyAlignment="1">
      <alignment horizontal="left" vertical="center"/>
    </xf>
    <xf numFmtId="0" fontId="9" fillId="0" borderId="23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6" xfId="0" applyFont="1" applyBorder="1" applyAlignment="1">
      <alignment horizontal="left" vertical="center"/>
    </xf>
    <xf numFmtId="0" fontId="9" fillId="0" borderId="5" xfId="0" applyFont="1" applyBorder="1" applyAlignment="1">
      <alignment horizontal="left" vertical="center"/>
    </xf>
    <xf numFmtId="0" fontId="9" fillId="0" borderId="6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3468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5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5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5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5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5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5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5607" name="Button 7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05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5608" name="Button 8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05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5609" name="Button 9" hidden="1">
              <a:extLst>
                <a:ext uri="{63B3BB69-23CF-44E3-9099-C40C66FF867C}">
                  <a14:compatExt spid="_x0000_s25609"/>
                </a:ext>
                <a:ext uri="{FF2B5EF4-FFF2-40B4-BE49-F238E27FC236}">
                  <a16:creationId xmlns:a16="http://schemas.microsoft.com/office/drawing/2014/main" id="{00000000-0008-0000-0500-00000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5610" name="Button 10" hidden="1">
              <a:extLst>
                <a:ext uri="{63B3BB69-23CF-44E3-9099-C40C66FF867C}">
                  <a14:compatExt spid="_x0000_s25610"/>
                </a:ext>
                <a:ext uri="{FF2B5EF4-FFF2-40B4-BE49-F238E27FC236}">
                  <a16:creationId xmlns:a16="http://schemas.microsoft.com/office/drawing/2014/main" id="{00000000-0008-0000-0500-00000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5611" name="Button 11" hidden="1">
              <a:extLst>
                <a:ext uri="{63B3BB69-23CF-44E3-9099-C40C66FF867C}">
                  <a14:compatExt spid="_x0000_s25611"/>
                </a:ext>
                <a:ext uri="{FF2B5EF4-FFF2-40B4-BE49-F238E27FC236}">
                  <a16:creationId xmlns:a16="http://schemas.microsoft.com/office/drawing/2014/main" id="{00000000-0008-0000-0500-00000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5612" name="Button 12" hidden="1">
              <a:extLst>
                <a:ext uri="{63B3BB69-23CF-44E3-9099-C40C66FF867C}">
                  <a14:compatExt spid="_x0000_s25612"/>
                </a:ext>
                <a:ext uri="{FF2B5EF4-FFF2-40B4-BE49-F238E27FC236}">
                  <a16:creationId xmlns:a16="http://schemas.microsoft.com/office/drawing/2014/main" id="{00000000-0008-0000-0500-00000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5613" name="Button 13" hidden="1">
              <a:extLst>
                <a:ext uri="{63B3BB69-23CF-44E3-9099-C40C66FF867C}">
                  <a14:compatExt spid="_x0000_s25613"/>
                </a:ext>
                <a:ext uri="{FF2B5EF4-FFF2-40B4-BE49-F238E27FC236}">
                  <a16:creationId xmlns:a16="http://schemas.microsoft.com/office/drawing/2014/main" id="{00000000-0008-0000-0500-00000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5614" name="Button 14" hidden="1">
              <a:extLst>
                <a:ext uri="{63B3BB69-23CF-44E3-9099-C40C66FF867C}">
                  <a14:compatExt spid="_x0000_s25614"/>
                </a:ext>
                <a:ext uri="{FF2B5EF4-FFF2-40B4-BE49-F238E27FC236}">
                  <a16:creationId xmlns:a16="http://schemas.microsoft.com/office/drawing/2014/main" id="{00000000-0008-0000-0500-00000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5615" name="Button 15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id="{00000000-0008-0000-05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5616" name="Button 16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id="{00000000-0008-0000-0500-00001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5617" name="Button 17" hidden="1">
              <a:extLst>
                <a:ext uri="{63B3BB69-23CF-44E3-9099-C40C66FF867C}">
                  <a14:compatExt spid="_x0000_s25617"/>
                </a:ext>
                <a:ext uri="{FF2B5EF4-FFF2-40B4-BE49-F238E27FC236}">
                  <a16:creationId xmlns:a16="http://schemas.microsoft.com/office/drawing/2014/main" id="{00000000-0008-0000-0500-00001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5618" name="Button 18" hidden="1">
              <a:extLst>
                <a:ext uri="{63B3BB69-23CF-44E3-9099-C40C66FF867C}">
                  <a14:compatExt spid="_x0000_s25618"/>
                </a:ext>
                <a:ext uri="{FF2B5EF4-FFF2-40B4-BE49-F238E27FC236}">
                  <a16:creationId xmlns:a16="http://schemas.microsoft.com/office/drawing/2014/main" id="{00000000-0008-0000-0500-00001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5619" name="Button 19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05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5620" name="Button 2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05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5621" name="Button 21" hidden="1">
              <a:extLst>
                <a:ext uri="{63B3BB69-23CF-44E3-9099-C40C66FF867C}">
                  <a14:compatExt spid="_x0000_s25621"/>
                </a:ext>
                <a:ext uri="{FF2B5EF4-FFF2-40B4-BE49-F238E27FC236}">
                  <a16:creationId xmlns:a16="http://schemas.microsoft.com/office/drawing/2014/main" id="{00000000-0008-0000-0500-00001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5622" name="Button 22" hidden="1">
              <a:extLst>
                <a:ext uri="{63B3BB69-23CF-44E3-9099-C40C66FF867C}">
                  <a14:compatExt spid="_x0000_s25622"/>
                </a:ext>
                <a:ext uri="{FF2B5EF4-FFF2-40B4-BE49-F238E27FC236}">
                  <a16:creationId xmlns:a16="http://schemas.microsoft.com/office/drawing/2014/main" id="{00000000-0008-0000-0500-00001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5623" name="Button 23" hidden="1">
              <a:extLst>
                <a:ext uri="{63B3BB69-23CF-44E3-9099-C40C66FF867C}">
                  <a14:compatExt spid="_x0000_s25623"/>
                </a:ext>
                <a:ext uri="{FF2B5EF4-FFF2-40B4-BE49-F238E27FC236}">
                  <a16:creationId xmlns:a16="http://schemas.microsoft.com/office/drawing/2014/main" id="{00000000-0008-0000-0500-00001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5624" name="Button 24" hidden="1">
              <a:extLst>
                <a:ext uri="{63B3BB69-23CF-44E3-9099-C40C66FF867C}">
                  <a14:compatExt spid="_x0000_s25624"/>
                </a:ext>
                <a:ext uri="{FF2B5EF4-FFF2-40B4-BE49-F238E27FC236}">
                  <a16:creationId xmlns:a16="http://schemas.microsoft.com/office/drawing/2014/main" id="{00000000-0008-0000-0500-00001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5625" name="Button 25" hidden="1">
              <a:extLst>
                <a:ext uri="{63B3BB69-23CF-44E3-9099-C40C66FF867C}">
                  <a14:compatExt spid="_x0000_s25625"/>
                </a:ext>
                <a:ext uri="{FF2B5EF4-FFF2-40B4-BE49-F238E27FC236}">
                  <a16:creationId xmlns:a16="http://schemas.microsoft.com/office/drawing/2014/main" id="{00000000-0008-0000-0500-00001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5626" name="Button 26" hidden="1">
              <a:extLst>
                <a:ext uri="{63B3BB69-23CF-44E3-9099-C40C66FF867C}">
                  <a14:compatExt spid="_x0000_s25626"/>
                </a:ext>
                <a:ext uri="{FF2B5EF4-FFF2-40B4-BE49-F238E27FC236}">
                  <a16:creationId xmlns:a16="http://schemas.microsoft.com/office/drawing/2014/main" id="{00000000-0008-0000-0500-00001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5627" name="Button 27" hidden="1">
              <a:extLst>
                <a:ext uri="{63B3BB69-23CF-44E3-9099-C40C66FF867C}">
                  <a14:compatExt spid="_x0000_s25627"/>
                </a:ext>
                <a:ext uri="{FF2B5EF4-FFF2-40B4-BE49-F238E27FC236}">
                  <a16:creationId xmlns:a16="http://schemas.microsoft.com/office/drawing/2014/main" id="{00000000-0008-0000-0500-00001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5628" name="Button 28" hidden="1">
              <a:extLst>
                <a:ext uri="{63B3BB69-23CF-44E3-9099-C40C66FF867C}">
                  <a14:compatExt spid="_x0000_s25628"/>
                </a:ext>
                <a:ext uri="{FF2B5EF4-FFF2-40B4-BE49-F238E27FC236}">
                  <a16:creationId xmlns:a16="http://schemas.microsoft.com/office/drawing/2014/main" id="{00000000-0008-0000-0500-00001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5629" name="Button 29" hidden="1">
              <a:extLst>
                <a:ext uri="{63B3BB69-23CF-44E3-9099-C40C66FF867C}">
                  <a14:compatExt spid="_x0000_s25629"/>
                </a:ext>
                <a:ext uri="{FF2B5EF4-FFF2-40B4-BE49-F238E27FC236}">
                  <a16:creationId xmlns:a16="http://schemas.microsoft.com/office/drawing/2014/main" id="{00000000-0008-0000-0500-00001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5630" name="Button 30" hidden="1">
              <a:extLst>
                <a:ext uri="{63B3BB69-23CF-44E3-9099-C40C66FF867C}">
                  <a14:compatExt spid="_x0000_s25630"/>
                </a:ext>
                <a:ext uri="{FF2B5EF4-FFF2-40B4-BE49-F238E27FC236}">
                  <a16:creationId xmlns:a16="http://schemas.microsoft.com/office/drawing/2014/main" id="{00000000-0008-0000-0500-00001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5631" name="Button 31" hidden="1">
              <a:extLst>
                <a:ext uri="{63B3BB69-23CF-44E3-9099-C40C66FF867C}">
                  <a14:compatExt spid="_x0000_s25631"/>
                </a:ext>
                <a:ext uri="{FF2B5EF4-FFF2-40B4-BE49-F238E27FC236}">
                  <a16:creationId xmlns:a16="http://schemas.microsoft.com/office/drawing/2014/main" id="{00000000-0008-0000-0500-00001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5632" name="Button 32" hidden="1">
              <a:extLst>
                <a:ext uri="{63B3BB69-23CF-44E3-9099-C40C66FF867C}">
                  <a14:compatExt spid="_x0000_s25632"/>
                </a:ext>
                <a:ext uri="{FF2B5EF4-FFF2-40B4-BE49-F238E27FC236}">
                  <a16:creationId xmlns:a16="http://schemas.microsoft.com/office/drawing/2014/main" id="{00000000-0008-0000-0500-00002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5633" name="Button 33" hidden="1">
              <a:extLst>
                <a:ext uri="{63B3BB69-23CF-44E3-9099-C40C66FF867C}">
                  <a14:compatExt spid="_x0000_s25633"/>
                </a:ext>
                <a:ext uri="{FF2B5EF4-FFF2-40B4-BE49-F238E27FC236}">
                  <a16:creationId xmlns:a16="http://schemas.microsoft.com/office/drawing/2014/main" id="{00000000-0008-0000-0500-00002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5634" name="Button 34" hidden="1">
              <a:extLst>
                <a:ext uri="{63B3BB69-23CF-44E3-9099-C40C66FF867C}">
                  <a14:compatExt spid="_x0000_s25634"/>
                </a:ext>
                <a:ext uri="{FF2B5EF4-FFF2-40B4-BE49-F238E27FC236}">
                  <a16:creationId xmlns:a16="http://schemas.microsoft.com/office/drawing/2014/main" id="{00000000-0008-0000-0500-00002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5635" name="Button 35" hidden="1">
              <a:extLst>
                <a:ext uri="{63B3BB69-23CF-44E3-9099-C40C66FF867C}">
                  <a14:compatExt spid="_x0000_s25635"/>
                </a:ext>
                <a:ext uri="{FF2B5EF4-FFF2-40B4-BE49-F238E27FC236}">
                  <a16:creationId xmlns:a16="http://schemas.microsoft.com/office/drawing/2014/main" id="{00000000-0008-0000-0500-00002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5636" name="Button 36" hidden="1">
              <a:extLst>
                <a:ext uri="{63B3BB69-23CF-44E3-9099-C40C66FF867C}">
                  <a14:compatExt spid="_x0000_s25636"/>
                </a:ext>
                <a:ext uri="{FF2B5EF4-FFF2-40B4-BE49-F238E27FC236}">
                  <a16:creationId xmlns:a16="http://schemas.microsoft.com/office/drawing/2014/main" id="{00000000-0008-0000-0500-00002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5637" name="Button 37" hidden="1">
              <a:extLst>
                <a:ext uri="{63B3BB69-23CF-44E3-9099-C40C66FF867C}">
                  <a14:compatExt spid="_x0000_s25637"/>
                </a:ext>
                <a:ext uri="{FF2B5EF4-FFF2-40B4-BE49-F238E27FC236}">
                  <a16:creationId xmlns:a16="http://schemas.microsoft.com/office/drawing/2014/main" id="{00000000-0008-0000-0500-00002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5638" name="Button 38" hidden="1">
              <a:extLst>
                <a:ext uri="{63B3BB69-23CF-44E3-9099-C40C66FF867C}">
                  <a14:compatExt spid="_x0000_s25638"/>
                </a:ext>
                <a:ext uri="{FF2B5EF4-FFF2-40B4-BE49-F238E27FC236}">
                  <a16:creationId xmlns:a16="http://schemas.microsoft.com/office/drawing/2014/main" id="{00000000-0008-0000-0500-00002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5639" name="Button 39" hidden="1">
              <a:extLst>
                <a:ext uri="{63B3BB69-23CF-44E3-9099-C40C66FF867C}">
                  <a14:compatExt spid="_x0000_s25639"/>
                </a:ext>
                <a:ext uri="{FF2B5EF4-FFF2-40B4-BE49-F238E27FC236}">
                  <a16:creationId xmlns:a16="http://schemas.microsoft.com/office/drawing/2014/main" id="{00000000-0008-0000-0500-00002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5640" name="Button 40" hidden="1">
              <a:extLst>
                <a:ext uri="{63B3BB69-23CF-44E3-9099-C40C66FF867C}">
                  <a14:compatExt spid="_x0000_s25640"/>
                </a:ext>
                <a:ext uri="{FF2B5EF4-FFF2-40B4-BE49-F238E27FC236}">
                  <a16:creationId xmlns:a16="http://schemas.microsoft.com/office/drawing/2014/main" id="{00000000-0008-0000-0500-00002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5641" name="Button 41" hidden="1">
              <a:extLst>
                <a:ext uri="{63B3BB69-23CF-44E3-9099-C40C66FF867C}">
                  <a14:compatExt spid="_x0000_s25641"/>
                </a:ext>
                <a:ext uri="{FF2B5EF4-FFF2-40B4-BE49-F238E27FC236}">
                  <a16:creationId xmlns:a16="http://schemas.microsoft.com/office/drawing/2014/main" id="{00000000-0008-0000-0500-00002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5642" name="Button 42" hidden="1">
              <a:extLst>
                <a:ext uri="{63B3BB69-23CF-44E3-9099-C40C66FF867C}">
                  <a14:compatExt spid="_x0000_s25642"/>
                </a:ext>
                <a:ext uri="{FF2B5EF4-FFF2-40B4-BE49-F238E27FC236}">
                  <a16:creationId xmlns:a16="http://schemas.microsoft.com/office/drawing/2014/main" id="{00000000-0008-0000-0500-00002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5643" name="Button 43" hidden="1">
              <a:extLst>
                <a:ext uri="{63B3BB69-23CF-44E3-9099-C40C66FF867C}">
                  <a14:compatExt spid="_x0000_s25643"/>
                </a:ext>
                <a:ext uri="{FF2B5EF4-FFF2-40B4-BE49-F238E27FC236}">
                  <a16:creationId xmlns:a16="http://schemas.microsoft.com/office/drawing/2014/main" id="{00000000-0008-0000-0500-00002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5644" name="Button 44" hidden="1">
              <a:extLst>
                <a:ext uri="{63B3BB69-23CF-44E3-9099-C40C66FF867C}">
                  <a14:compatExt spid="_x0000_s25644"/>
                </a:ext>
                <a:ext uri="{FF2B5EF4-FFF2-40B4-BE49-F238E27FC236}">
                  <a16:creationId xmlns:a16="http://schemas.microsoft.com/office/drawing/2014/main" id="{00000000-0008-0000-0500-00002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5645" name="Button 45" hidden="1">
              <a:extLst>
                <a:ext uri="{63B3BB69-23CF-44E3-9099-C40C66FF867C}">
                  <a14:compatExt spid="_x0000_s25645"/>
                </a:ext>
                <a:ext uri="{FF2B5EF4-FFF2-40B4-BE49-F238E27FC236}">
                  <a16:creationId xmlns:a16="http://schemas.microsoft.com/office/drawing/2014/main" id="{00000000-0008-0000-0500-00002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5646" name="Button 46" hidden="1">
              <a:extLst>
                <a:ext uri="{63B3BB69-23CF-44E3-9099-C40C66FF867C}">
                  <a14:compatExt spid="_x0000_s25646"/>
                </a:ext>
                <a:ext uri="{FF2B5EF4-FFF2-40B4-BE49-F238E27FC236}">
                  <a16:creationId xmlns:a16="http://schemas.microsoft.com/office/drawing/2014/main" id="{00000000-0008-0000-0500-00002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5647" name="Button 47" hidden="1">
              <a:extLst>
                <a:ext uri="{63B3BB69-23CF-44E3-9099-C40C66FF867C}">
                  <a14:compatExt spid="_x0000_s25647"/>
                </a:ext>
                <a:ext uri="{FF2B5EF4-FFF2-40B4-BE49-F238E27FC236}">
                  <a16:creationId xmlns:a16="http://schemas.microsoft.com/office/drawing/2014/main" id="{00000000-0008-0000-0500-00002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5648" name="Button 48" hidden="1">
              <a:extLst>
                <a:ext uri="{63B3BB69-23CF-44E3-9099-C40C66FF867C}">
                  <a14:compatExt spid="_x0000_s25648"/>
                </a:ext>
                <a:ext uri="{FF2B5EF4-FFF2-40B4-BE49-F238E27FC236}">
                  <a16:creationId xmlns:a16="http://schemas.microsoft.com/office/drawing/2014/main" id="{00000000-0008-0000-0500-00003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5649" name="Button 49" hidden="1">
              <a:extLst>
                <a:ext uri="{63B3BB69-23CF-44E3-9099-C40C66FF867C}">
                  <a14:compatExt spid="_x0000_s25649"/>
                </a:ext>
                <a:ext uri="{FF2B5EF4-FFF2-40B4-BE49-F238E27FC236}">
                  <a16:creationId xmlns:a16="http://schemas.microsoft.com/office/drawing/2014/main" id="{00000000-0008-0000-0500-00003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5650" name="Button 50" hidden="1">
              <a:extLst>
                <a:ext uri="{63B3BB69-23CF-44E3-9099-C40C66FF867C}">
                  <a14:compatExt spid="_x0000_s25650"/>
                </a:ext>
                <a:ext uri="{FF2B5EF4-FFF2-40B4-BE49-F238E27FC236}">
                  <a16:creationId xmlns:a16="http://schemas.microsoft.com/office/drawing/2014/main" id="{00000000-0008-0000-0500-00003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5651" name="Button 51" hidden="1">
              <a:extLst>
                <a:ext uri="{63B3BB69-23CF-44E3-9099-C40C66FF867C}">
                  <a14:compatExt spid="_x0000_s25651"/>
                </a:ext>
                <a:ext uri="{FF2B5EF4-FFF2-40B4-BE49-F238E27FC236}">
                  <a16:creationId xmlns:a16="http://schemas.microsoft.com/office/drawing/2014/main" id="{00000000-0008-0000-0500-00003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5652" name="Button 52" hidden="1">
              <a:extLst>
                <a:ext uri="{63B3BB69-23CF-44E3-9099-C40C66FF867C}">
                  <a14:compatExt spid="_x0000_s25652"/>
                </a:ext>
                <a:ext uri="{FF2B5EF4-FFF2-40B4-BE49-F238E27FC236}">
                  <a16:creationId xmlns:a16="http://schemas.microsoft.com/office/drawing/2014/main" id="{00000000-0008-0000-0500-00003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5653" name="Button 53" hidden="1">
              <a:extLst>
                <a:ext uri="{63B3BB69-23CF-44E3-9099-C40C66FF867C}">
                  <a14:compatExt spid="_x0000_s25653"/>
                </a:ext>
                <a:ext uri="{FF2B5EF4-FFF2-40B4-BE49-F238E27FC236}">
                  <a16:creationId xmlns:a16="http://schemas.microsoft.com/office/drawing/2014/main" id="{00000000-0008-0000-0500-00003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5654" name="Button 54" hidden="1">
              <a:extLst>
                <a:ext uri="{63B3BB69-23CF-44E3-9099-C40C66FF867C}">
                  <a14:compatExt spid="_x0000_s25654"/>
                </a:ext>
                <a:ext uri="{FF2B5EF4-FFF2-40B4-BE49-F238E27FC236}">
                  <a16:creationId xmlns:a16="http://schemas.microsoft.com/office/drawing/2014/main" id="{00000000-0008-0000-0500-00003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5655" name="Button 55" hidden="1">
              <a:extLst>
                <a:ext uri="{63B3BB69-23CF-44E3-9099-C40C66FF867C}">
                  <a14:compatExt spid="_x0000_s25655"/>
                </a:ext>
                <a:ext uri="{FF2B5EF4-FFF2-40B4-BE49-F238E27FC236}">
                  <a16:creationId xmlns:a16="http://schemas.microsoft.com/office/drawing/2014/main" id="{00000000-0008-0000-0500-00003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5656" name="Button 56" hidden="1">
              <a:extLst>
                <a:ext uri="{63B3BB69-23CF-44E3-9099-C40C66FF867C}">
                  <a14:compatExt spid="_x0000_s25656"/>
                </a:ext>
                <a:ext uri="{FF2B5EF4-FFF2-40B4-BE49-F238E27FC236}">
                  <a16:creationId xmlns:a16="http://schemas.microsoft.com/office/drawing/2014/main" id="{00000000-0008-0000-0500-00003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5657" name="Button 57" hidden="1">
              <a:extLst>
                <a:ext uri="{63B3BB69-23CF-44E3-9099-C40C66FF867C}">
                  <a14:compatExt spid="_x0000_s25657"/>
                </a:ext>
                <a:ext uri="{FF2B5EF4-FFF2-40B4-BE49-F238E27FC236}">
                  <a16:creationId xmlns:a16="http://schemas.microsoft.com/office/drawing/2014/main" id="{00000000-0008-0000-0500-00003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5658" name="Button 58" hidden="1">
              <a:extLst>
                <a:ext uri="{63B3BB69-23CF-44E3-9099-C40C66FF867C}">
                  <a14:compatExt spid="_x0000_s25658"/>
                </a:ext>
                <a:ext uri="{FF2B5EF4-FFF2-40B4-BE49-F238E27FC236}">
                  <a16:creationId xmlns:a16="http://schemas.microsoft.com/office/drawing/2014/main" id="{00000000-0008-0000-0500-00003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5659" name="Button 59" hidden="1">
              <a:extLst>
                <a:ext uri="{63B3BB69-23CF-44E3-9099-C40C66FF867C}">
                  <a14:compatExt spid="_x0000_s25659"/>
                </a:ext>
                <a:ext uri="{FF2B5EF4-FFF2-40B4-BE49-F238E27FC236}">
                  <a16:creationId xmlns:a16="http://schemas.microsoft.com/office/drawing/2014/main" id="{00000000-0008-0000-0500-00003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5660" name="Button 60" hidden="1">
              <a:extLst>
                <a:ext uri="{63B3BB69-23CF-44E3-9099-C40C66FF867C}">
                  <a14:compatExt spid="_x0000_s25660"/>
                </a:ext>
                <a:ext uri="{FF2B5EF4-FFF2-40B4-BE49-F238E27FC236}">
                  <a16:creationId xmlns:a16="http://schemas.microsoft.com/office/drawing/2014/main" id="{00000000-0008-0000-0500-00003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5661" name="Button 61" hidden="1">
              <a:extLst>
                <a:ext uri="{63B3BB69-23CF-44E3-9099-C40C66FF867C}">
                  <a14:compatExt spid="_x0000_s25661"/>
                </a:ext>
                <a:ext uri="{FF2B5EF4-FFF2-40B4-BE49-F238E27FC236}">
                  <a16:creationId xmlns:a16="http://schemas.microsoft.com/office/drawing/2014/main" id="{00000000-0008-0000-0500-00003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5662" name="Button 62" hidden="1">
              <a:extLst>
                <a:ext uri="{63B3BB69-23CF-44E3-9099-C40C66FF867C}">
                  <a14:compatExt spid="_x0000_s25662"/>
                </a:ext>
                <a:ext uri="{FF2B5EF4-FFF2-40B4-BE49-F238E27FC236}">
                  <a16:creationId xmlns:a16="http://schemas.microsoft.com/office/drawing/2014/main" id="{00000000-0008-0000-0500-00003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5663" name="Button 63" hidden="1">
              <a:extLst>
                <a:ext uri="{63B3BB69-23CF-44E3-9099-C40C66FF867C}">
                  <a14:compatExt spid="_x0000_s25663"/>
                </a:ext>
                <a:ext uri="{FF2B5EF4-FFF2-40B4-BE49-F238E27FC236}">
                  <a16:creationId xmlns:a16="http://schemas.microsoft.com/office/drawing/2014/main" id="{00000000-0008-0000-0500-00003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5664" name="Button 64" hidden="1">
              <a:extLst>
                <a:ext uri="{63B3BB69-23CF-44E3-9099-C40C66FF867C}">
                  <a14:compatExt spid="_x0000_s25664"/>
                </a:ext>
                <a:ext uri="{FF2B5EF4-FFF2-40B4-BE49-F238E27FC236}">
                  <a16:creationId xmlns:a16="http://schemas.microsoft.com/office/drawing/2014/main" id="{00000000-0008-0000-0500-00004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5665" name="Button 65" hidden="1">
              <a:extLst>
                <a:ext uri="{63B3BB69-23CF-44E3-9099-C40C66FF867C}">
                  <a14:compatExt spid="_x0000_s25665"/>
                </a:ext>
                <a:ext uri="{FF2B5EF4-FFF2-40B4-BE49-F238E27FC236}">
                  <a16:creationId xmlns:a16="http://schemas.microsoft.com/office/drawing/2014/main" id="{00000000-0008-0000-0500-00004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5666" name="Button 66" hidden="1">
              <a:extLst>
                <a:ext uri="{63B3BB69-23CF-44E3-9099-C40C66FF867C}">
                  <a14:compatExt spid="_x0000_s25666"/>
                </a:ext>
                <a:ext uri="{FF2B5EF4-FFF2-40B4-BE49-F238E27FC236}">
                  <a16:creationId xmlns:a16="http://schemas.microsoft.com/office/drawing/2014/main" id="{00000000-0008-0000-0500-00004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5667" name="Button 67" hidden="1">
              <a:extLst>
                <a:ext uri="{63B3BB69-23CF-44E3-9099-C40C66FF867C}">
                  <a14:compatExt spid="_x0000_s25667"/>
                </a:ext>
                <a:ext uri="{FF2B5EF4-FFF2-40B4-BE49-F238E27FC236}">
                  <a16:creationId xmlns:a16="http://schemas.microsoft.com/office/drawing/2014/main" id="{00000000-0008-0000-0500-00004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5668" name="Button 68" hidden="1">
              <a:extLst>
                <a:ext uri="{63B3BB69-23CF-44E3-9099-C40C66FF867C}">
                  <a14:compatExt spid="_x0000_s25668"/>
                </a:ext>
                <a:ext uri="{FF2B5EF4-FFF2-40B4-BE49-F238E27FC236}">
                  <a16:creationId xmlns:a16="http://schemas.microsoft.com/office/drawing/2014/main" id="{00000000-0008-0000-0500-00004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5669" name="Button 69" hidden="1">
              <a:extLst>
                <a:ext uri="{63B3BB69-23CF-44E3-9099-C40C66FF867C}">
                  <a14:compatExt spid="_x0000_s25669"/>
                </a:ext>
                <a:ext uri="{FF2B5EF4-FFF2-40B4-BE49-F238E27FC236}">
                  <a16:creationId xmlns:a16="http://schemas.microsoft.com/office/drawing/2014/main" id="{00000000-0008-0000-0500-00004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5670" name="Button 70" hidden="1">
              <a:extLst>
                <a:ext uri="{63B3BB69-23CF-44E3-9099-C40C66FF867C}">
                  <a14:compatExt spid="_x0000_s25670"/>
                </a:ext>
                <a:ext uri="{FF2B5EF4-FFF2-40B4-BE49-F238E27FC236}">
                  <a16:creationId xmlns:a16="http://schemas.microsoft.com/office/drawing/2014/main" id="{00000000-0008-0000-0500-00004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5671" name="Button 71" hidden="1">
              <a:extLst>
                <a:ext uri="{63B3BB69-23CF-44E3-9099-C40C66FF867C}">
                  <a14:compatExt spid="_x0000_s25671"/>
                </a:ext>
                <a:ext uri="{FF2B5EF4-FFF2-40B4-BE49-F238E27FC236}">
                  <a16:creationId xmlns:a16="http://schemas.microsoft.com/office/drawing/2014/main" id="{00000000-0008-0000-0500-00004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5672" name="Button 72" hidden="1">
              <a:extLst>
                <a:ext uri="{63B3BB69-23CF-44E3-9099-C40C66FF867C}">
                  <a14:compatExt spid="_x0000_s25672"/>
                </a:ext>
                <a:ext uri="{FF2B5EF4-FFF2-40B4-BE49-F238E27FC236}">
                  <a16:creationId xmlns:a16="http://schemas.microsoft.com/office/drawing/2014/main" id="{00000000-0008-0000-0500-00004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5673" name="Button 73" hidden="1">
              <a:extLst>
                <a:ext uri="{63B3BB69-23CF-44E3-9099-C40C66FF867C}">
                  <a14:compatExt spid="_x0000_s25673"/>
                </a:ext>
                <a:ext uri="{FF2B5EF4-FFF2-40B4-BE49-F238E27FC236}">
                  <a16:creationId xmlns:a16="http://schemas.microsoft.com/office/drawing/2014/main" id="{00000000-0008-0000-0500-00004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5674" name="Button 74" hidden="1">
              <a:extLst>
                <a:ext uri="{63B3BB69-23CF-44E3-9099-C40C66FF867C}">
                  <a14:compatExt spid="_x0000_s25674"/>
                </a:ext>
                <a:ext uri="{FF2B5EF4-FFF2-40B4-BE49-F238E27FC236}">
                  <a16:creationId xmlns:a16="http://schemas.microsoft.com/office/drawing/2014/main" id="{00000000-0008-0000-0500-00004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5675" name="Button 75" hidden="1">
              <a:extLst>
                <a:ext uri="{63B3BB69-23CF-44E3-9099-C40C66FF867C}">
                  <a14:compatExt spid="_x0000_s25675"/>
                </a:ext>
                <a:ext uri="{FF2B5EF4-FFF2-40B4-BE49-F238E27FC236}">
                  <a16:creationId xmlns:a16="http://schemas.microsoft.com/office/drawing/2014/main" id="{00000000-0008-0000-0500-00004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5676" name="Button 76" hidden="1">
              <a:extLst>
                <a:ext uri="{63B3BB69-23CF-44E3-9099-C40C66FF867C}">
                  <a14:compatExt spid="_x0000_s25676"/>
                </a:ext>
                <a:ext uri="{FF2B5EF4-FFF2-40B4-BE49-F238E27FC236}">
                  <a16:creationId xmlns:a16="http://schemas.microsoft.com/office/drawing/2014/main" id="{00000000-0008-0000-0500-00004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5677" name="Button 77" hidden="1">
              <a:extLst>
                <a:ext uri="{63B3BB69-23CF-44E3-9099-C40C66FF867C}">
                  <a14:compatExt spid="_x0000_s25677"/>
                </a:ext>
                <a:ext uri="{FF2B5EF4-FFF2-40B4-BE49-F238E27FC236}">
                  <a16:creationId xmlns:a16="http://schemas.microsoft.com/office/drawing/2014/main" id="{00000000-0008-0000-0500-00004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5678" name="Button 78" hidden="1">
              <a:extLst>
                <a:ext uri="{63B3BB69-23CF-44E3-9099-C40C66FF867C}">
                  <a14:compatExt spid="_x0000_s25678"/>
                </a:ext>
                <a:ext uri="{FF2B5EF4-FFF2-40B4-BE49-F238E27FC236}">
                  <a16:creationId xmlns:a16="http://schemas.microsoft.com/office/drawing/2014/main" id="{00000000-0008-0000-0500-00004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5679" name="Button 79" hidden="1">
              <a:extLst>
                <a:ext uri="{63B3BB69-23CF-44E3-9099-C40C66FF867C}">
                  <a14:compatExt spid="_x0000_s25679"/>
                </a:ext>
                <a:ext uri="{FF2B5EF4-FFF2-40B4-BE49-F238E27FC236}">
                  <a16:creationId xmlns:a16="http://schemas.microsoft.com/office/drawing/2014/main" id="{00000000-0008-0000-0500-00004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5680" name="Button 80" hidden="1">
              <a:extLst>
                <a:ext uri="{63B3BB69-23CF-44E3-9099-C40C66FF867C}">
                  <a14:compatExt spid="_x0000_s25680"/>
                </a:ext>
                <a:ext uri="{FF2B5EF4-FFF2-40B4-BE49-F238E27FC236}">
                  <a16:creationId xmlns:a16="http://schemas.microsoft.com/office/drawing/2014/main" id="{00000000-0008-0000-0500-00005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5681" name="Button 81" hidden="1">
              <a:extLst>
                <a:ext uri="{63B3BB69-23CF-44E3-9099-C40C66FF867C}">
                  <a14:compatExt spid="_x0000_s25681"/>
                </a:ext>
                <a:ext uri="{FF2B5EF4-FFF2-40B4-BE49-F238E27FC236}">
                  <a16:creationId xmlns:a16="http://schemas.microsoft.com/office/drawing/2014/main" id="{00000000-0008-0000-0500-00005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5682" name="Button 82" hidden="1">
              <a:extLst>
                <a:ext uri="{63B3BB69-23CF-44E3-9099-C40C66FF867C}">
                  <a14:compatExt spid="_x0000_s25682"/>
                </a:ext>
                <a:ext uri="{FF2B5EF4-FFF2-40B4-BE49-F238E27FC236}">
                  <a16:creationId xmlns:a16="http://schemas.microsoft.com/office/drawing/2014/main" id="{00000000-0008-0000-0500-00005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5683" name="Button 83" hidden="1">
              <a:extLst>
                <a:ext uri="{63B3BB69-23CF-44E3-9099-C40C66FF867C}">
                  <a14:compatExt spid="_x0000_s25683"/>
                </a:ext>
                <a:ext uri="{FF2B5EF4-FFF2-40B4-BE49-F238E27FC236}">
                  <a16:creationId xmlns:a16="http://schemas.microsoft.com/office/drawing/2014/main" id="{00000000-0008-0000-0500-00005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5684" name="Button 84" hidden="1">
              <a:extLst>
                <a:ext uri="{63B3BB69-23CF-44E3-9099-C40C66FF867C}">
                  <a14:compatExt spid="_x0000_s25684"/>
                </a:ext>
                <a:ext uri="{FF2B5EF4-FFF2-40B4-BE49-F238E27FC236}">
                  <a16:creationId xmlns:a16="http://schemas.microsoft.com/office/drawing/2014/main" id="{00000000-0008-0000-0500-00005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5685" name="Button 85" hidden="1">
              <a:extLst>
                <a:ext uri="{63B3BB69-23CF-44E3-9099-C40C66FF867C}">
                  <a14:compatExt spid="_x0000_s25685"/>
                </a:ext>
                <a:ext uri="{FF2B5EF4-FFF2-40B4-BE49-F238E27FC236}">
                  <a16:creationId xmlns:a16="http://schemas.microsoft.com/office/drawing/2014/main" id="{00000000-0008-0000-0500-00005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5686" name="Button 86" hidden="1">
              <a:extLst>
                <a:ext uri="{63B3BB69-23CF-44E3-9099-C40C66FF867C}">
                  <a14:compatExt spid="_x0000_s25686"/>
                </a:ext>
                <a:ext uri="{FF2B5EF4-FFF2-40B4-BE49-F238E27FC236}">
                  <a16:creationId xmlns:a16="http://schemas.microsoft.com/office/drawing/2014/main" id="{00000000-0008-0000-0500-00005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5687" name="Button 87" hidden="1">
              <a:extLst>
                <a:ext uri="{63B3BB69-23CF-44E3-9099-C40C66FF867C}">
                  <a14:compatExt spid="_x0000_s25687"/>
                </a:ext>
                <a:ext uri="{FF2B5EF4-FFF2-40B4-BE49-F238E27FC236}">
                  <a16:creationId xmlns:a16="http://schemas.microsoft.com/office/drawing/2014/main" id="{00000000-0008-0000-0500-00005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5688" name="Button 88" hidden="1">
              <a:extLst>
                <a:ext uri="{63B3BB69-23CF-44E3-9099-C40C66FF867C}">
                  <a14:compatExt spid="_x0000_s25688"/>
                </a:ext>
                <a:ext uri="{FF2B5EF4-FFF2-40B4-BE49-F238E27FC236}">
                  <a16:creationId xmlns:a16="http://schemas.microsoft.com/office/drawing/2014/main" id="{00000000-0008-0000-0500-00005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5689" name="Button 89" hidden="1">
              <a:extLst>
                <a:ext uri="{63B3BB69-23CF-44E3-9099-C40C66FF867C}">
                  <a14:compatExt spid="_x0000_s25689"/>
                </a:ext>
                <a:ext uri="{FF2B5EF4-FFF2-40B4-BE49-F238E27FC236}">
                  <a16:creationId xmlns:a16="http://schemas.microsoft.com/office/drawing/2014/main" id="{00000000-0008-0000-0500-00005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5690" name="Button 90" hidden="1">
              <a:extLst>
                <a:ext uri="{63B3BB69-23CF-44E3-9099-C40C66FF867C}">
                  <a14:compatExt spid="_x0000_s25690"/>
                </a:ext>
                <a:ext uri="{FF2B5EF4-FFF2-40B4-BE49-F238E27FC236}">
                  <a16:creationId xmlns:a16="http://schemas.microsoft.com/office/drawing/2014/main" id="{00000000-0008-0000-0500-00005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5691" name="Button 91" hidden="1">
              <a:extLst>
                <a:ext uri="{63B3BB69-23CF-44E3-9099-C40C66FF867C}">
                  <a14:compatExt spid="_x0000_s25691"/>
                </a:ext>
                <a:ext uri="{FF2B5EF4-FFF2-40B4-BE49-F238E27FC236}">
                  <a16:creationId xmlns:a16="http://schemas.microsoft.com/office/drawing/2014/main" id="{00000000-0008-0000-0500-00005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5692" name="Button 92" hidden="1">
              <a:extLst>
                <a:ext uri="{63B3BB69-23CF-44E3-9099-C40C66FF867C}">
                  <a14:compatExt spid="_x0000_s25692"/>
                </a:ext>
                <a:ext uri="{FF2B5EF4-FFF2-40B4-BE49-F238E27FC236}">
                  <a16:creationId xmlns:a16="http://schemas.microsoft.com/office/drawing/2014/main" id="{00000000-0008-0000-0500-00005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5693" name="Button 93" hidden="1">
              <a:extLst>
                <a:ext uri="{63B3BB69-23CF-44E3-9099-C40C66FF867C}">
                  <a14:compatExt spid="_x0000_s25693"/>
                </a:ext>
                <a:ext uri="{FF2B5EF4-FFF2-40B4-BE49-F238E27FC236}">
                  <a16:creationId xmlns:a16="http://schemas.microsoft.com/office/drawing/2014/main" id="{00000000-0008-0000-0500-00005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5694" name="Button 94" hidden="1">
              <a:extLst>
                <a:ext uri="{63B3BB69-23CF-44E3-9099-C40C66FF867C}">
                  <a14:compatExt spid="_x0000_s25694"/>
                </a:ext>
                <a:ext uri="{FF2B5EF4-FFF2-40B4-BE49-F238E27FC236}">
                  <a16:creationId xmlns:a16="http://schemas.microsoft.com/office/drawing/2014/main" id="{00000000-0008-0000-0500-00005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5695" name="Button 95" hidden="1">
              <a:extLst>
                <a:ext uri="{63B3BB69-23CF-44E3-9099-C40C66FF867C}">
                  <a14:compatExt spid="_x0000_s25695"/>
                </a:ext>
                <a:ext uri="{FF2B5EF4-FFF2-40B4-BE49-F238E27FC236}">
                  <a16:creationId xmlns:a16="http://schemas.microsoft.com/office/drawing/2014/main" id="{00000000-0008-0000-0500-00005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5696" name="Button 96" hidden="1">
              <a:extLst>
                <a:ext uri="{63B3BB69-23CF-44E3-9099-C40C66FF867C}">
                  <a14:compatExt spid="_x0000_s25696"/>
                </a:ext>
                <a:ext uri="{FF2B5EF4-FFF2-40B4-BE49-F238E27FC236}">
                  <a16:creationId xmlns:a16="http://schemas.microsoft.com/office/drawing/2014/main" id="{00000000-0008-0000-0500-00006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5697" name="Button 97" hidden="1">
              <a:extLst>
                <a:ext uri="{63B3BB69-23CF-44E3-9099-C40C66FF867C}">
                  <a14:compatExt spid="_x0000_s25697"/>
                </a:ext>
                <a:ext uri="{FF2B5EF4-FFF2-40B4-BE49-F238E27FC236}">
                  <a16:creationId xmlns:a16="http://schemas.microsoft.com/office/drawing/2014/main" id="{00000000-0008-0000-0500-00006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5698" name="Button 98" hidden="1">
              <a:extLst>
                <a:ext uri="{63B3BB69-23CF-44E3-9099-C40C66FF867C}">
                  <a14:compatExt spid="_x0000_s25698"/>
                </a:ext>
                <a:ext uri="{FF2B5EF4-FFF2-40B4-BE49-F238E27FC236}">
                  <a16:creationId xmlns:a16="http://schemas.microsoft.com/office/drawing/2014/main" id="{00000000-0008-0000-0500-00006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5699" name="Button 99" hidden="1">
              <a:extLst>
                <a:ext uri="{63B3BB69-23CF-44E3-9099-C40C66FF867C}">
                  <a14:compatExt spid="_x0000_s25699"/>
                </a:ext>
                <a:ext uri="{FF2B5EF4-FFF2-40B4-BE49-F238E27FC236}">
                  <a16:creationId xmlns:a16="http://schemas.microsoft.com/office/drawing/2014/main" id="{00000000-0008-0000-0500-00006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5700" name="Button 100" hidden="1">
              <a:extLst>
                <a:ext uri="{63B3BB69-23CF-44E3-9099-C40C66FF867C}">
                  <a14:compatExt spid="_x0000_s25700"/>
                </a:ext>
                <a:ext uri="{FF2B5EF4-FFF2-40B4-BE49-F238E27FC236}">
                  <a16:creationId xmlns:a16="http://schemas.microsoft.com/office/drawing/2014/main" id="{00000000-0008-0000-0500-00006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5701" name="Button 101" hidden="1">
              <a:extLst>
                <a:ext uri="{63B3BB69-23CF-44E3-9099-C40C66FF867C}">
                  <a14:compatExt spid="_x0000_s25701"/>
                </a:ext>
                <a:ext uri="{FF2B5EF4-FFF2-40B4-BE49-F238E27FC236}">
                  <a16:creationId xmlns:a16="http://schemas.microsoft.com/office/drawing/2014/main" id="{00000000-0008-0000-0500-00006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5702" name="Button 102" hidden="1">
              <a:extLst>
                <a:ext uri="{63B3BB69-23CF-44E3-9099-C40C66FF867C}">
                  <a14:compatExt spid="_x0000_s25702"/>
                </a:ext>
                <a:ext uri="{FF2B5EF4-FFF2-40B4-BE49-F238E27FC236}">
                  <a16:creationId xmlns:a16="http://schemas.microsoft.com/office/drawing/2014/main" id="{00000000-0008-0000-0500-00006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5703" name="Button 103" hidden="1">
              <a:extLst>
                <a:ext uri="{63B3BB69-23CF-44E3-9099-C40C66FF867C}">
                  <a14:compatExt spid="_x0000_s25703"/>
                </a:ext>
                <a:ext uri="{FF2B5EF4-FFF2-40B4-BE49-F238E27FC236}">
                  <a16:creationId xmlns:a16="http://schemas.microsoft.com/office/drawing/2014/main" id="{00000000-0008-0000-0500-00006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5704" name="Button 104" hidden="1">
              <a:extLst>
                <a:ext uri="{63B3BB69-23CF-44E3-9099-C40C66FF867C}">
                  <a14:compatExt spid="_x0000_s25704"/>
                </a:ext>
                <a:ext uri="{FF2B5EF4-FFF2-40B4-BE49-F238E27FC236}">
                  <a16:creationId xmlns:a16="http://schemas.microsoft.com/office/drawing/2014/main" id="{00000000-0008-0000-0500-00006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5705" name="Button 105" hidden="1">
              <a:extLst>
                <a:ext uri="{63B3BB69-23CF-44E3-9099-C40C66FF867C}">
                  <a14:compatExt spid="_x0000_s25705"/>
                </a:ext>
                <a:ext uri="{FF2B5EF4-FFF2-40B4-BE49-F238E27FC236}">
                  <a16:creationId xmlns:a16="http://schemas.microsoft.com/office/drawing/2014/main" id="{00000000-0008-0000-0500-00006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5706" name="Button 106" hidden="1">
              <a:extLst>
                <a:ext uri="{63B3BB69-23CF-44E3-9099-C40C66FF867C}">
                  <a14:compatExt spid="_x0000_s25706"/>
                </a:ext>
                <a:ext uri="{FF2B5EF4-FFF2-40B4-BE49-F238E27FC236}">
                  <a16:creationId xmlns:a16="http://schemas.microsoft.com/office/drawing/2014/main" id="{00000000-0008-0000-0500-00006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5707" name="Button 107" hidden="1">
              <a:extLst>
                <a:ext uri="{63B3BB69-23CF-44E3-9099-C40C66FF867C}">
                  <a14:compatExt spid="_x0000_s25707"/>
                </a:ext>
                <a:ext uri="{FF2B5EF4-FFF2-40B4-BE49-F238E27FC236}">
                  <a16:creationId xmlns:a16="http://schemas.microsoft.com/office/drawing/2014/main" id="{00000000-0008-0000-0500-00006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5708" name="Button 108" hidden="1">
              <a:extLst>
                <a:ext uri="{63B3BB69-23CF-44E3-9099-C40C66FF867C}">
                  <a14:compatExt spid="_x0000_s25708"/>
                </a:ext>
                <a:ext uri="{FF2B5EF4-FFF2-40B4-BE49-F238E27FC236}">
                  <a16:creationId xmlns:a16="http://schemas.microsoft.com/office/drawing/2014/main" id="{00000000-0008-0000-0500-00006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5709" name="Button 109" hidden="1">
              <a:extLst>
                <a:ext uri="{63B3BB69-23CF-44E3-9099-C40C66FF867C}">
                  <a14:compatExt spid="_x0000_s25709"/>
                </a:ext>
                <a:ext uri="{FF2B5EF4-FFF2-40B4-BE49-F238E27FC236}">
                  <a16:creationId xmlns:a16="http://schemas.microsoft.com/office/drawing/2014/main" id="{00000000-0008-0000-0500-00006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5710" name="Button 110" hidden="1">
              <a:extLst>
                <a:ext uri="{63B3BB69-23CF-44E3-9099-C40C66FF867C}">
                  <a14:compatExt spid="_x0000_s25710"/>
                </a:ext>
                <a:ext uri="{FF2B5EF4-FFF2-40B4-BE49-F238E27FC236}">
                  <a16:creationId xmlns:a16="http://schemas.microsoft.com/office/drawing/2014/main" id="{00000000-0008-0000-0500-00006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5711" name="Button 111" hidden="1">
              <a:extLst>
                <a:ext uri="{63B3BB69-23CF-44E3-9099-C40C66FF867C}">
                  <a14:compatExt spid="_x0000_s25711"/>
                </a:ext>
                <a:ext uri="{FF2B5EF4-FFF2-40B4-BE49-F238E27FC236}">
                  <a16:creationId xmlns:a16="http://schemas.microsoft.com/office/drawing/2014/main" id="{00000000-0008-0000-0500-00006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5712" name="Button 112" hidden="1">
              <a:extLst>
                <a:ext uri="{63B3BB69-23CF-44E3-9099-C40C66FF867C}">
                  <a14:compatExt spid="_x0000_s25712"/>
                </a:ext>
                <a:ext uri="{FF2B5EF4-FFF2-40B4-BE49-F238E27FC236}">
                  <a16:creationId xmlns:a16="http://schemas.microsoft.com/office/drawing/2014/main" id="{00000000-0008-0000-0500-00007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5713" name="Button 113" hidden="1">
              <a:extLst>
                <a:ext uri="{63B3BB69-23CF-44E3-9099-C40C66FF867C}">
                  <a14:compatExt spid="_x0000_s25713"/>
                </a:ext>
                <a:ext uri="{FF2B5EF4-FFF2-40B4-BE49-F238E27FC236}">
                  <a16:creationId xmlns:a16="http://schemas.microsoft.com/office/drawing/2014/main" id="{00000000-0008-0000-0500-00007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5714" name="Button 114" hidden="1">
              <a:extLst>
                <a:ext uri="{63B3BB69-23CF-44E3-9099-C40C66FF867C}">
                  <a14:compatExt spid="_x0000_s25714"/>
                </a:ext>
                <a:ext uri="{FF2B5EF4-FFF2-40B4-BE49-F238E27FC236}">
                  <a16:creationId xmlns:a16="http://schemas.microsoft.com/office/drawing/2014/main" id="{00000000-0008-0000-0500-00007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5715" name="Button 115" hidden="1">
              <a:extLst>
                <a:ext uri="{63B3BB69-23CF-44E3-9099-C40C66FF867C}">
                  <a14:compatExt spid="_x0000_s25715"/>
                </a:ext>
                <a:ext uri="{FF2B5EF4-FFF2-40B4-BE49-F238E27FC236}">
                  <a16:creationId xmlns:a16="http://schemas.microsoft.com/office/drawing/2014/main" id="{00000000-0008-0000-0500-00007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5716" name="Button 116" hidden="1">
              <a:extLst>
                <a:ext uri="{63B3BB69-23CF-44E3-9099-C40C66FF867C}">
                  <a14:compatExt spid="_x0000_s25716"/>
                </a:ext>
                <a:ext uri="{FF2B5EF4-FFF2-40B4-BE49-F238E27FC236}">
                  <a16:creationId xmlns:a16="http://schemas.microsoft.com/office/drawing/2014/main" id="{00000000-0008-0000-0500-00007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5717" name="Button 117" hidden="1">
              <a:extLst>
                <a:ext uri="{63B3BB69-23CF-44E3-9099-C40C66FF867C}">
                  <a14:compatExt spid="_x0000_s25717"/>
                </a:ext>
                <a:ext uri="{FF2B5EF4-FFF2-40B4-BE49-F238E27FC236}">
                  <a16:creationId xmlns:a16="http://schemas.microsoft.com/office/drawing/2014/main" id="{00000000-0008-0000-0500-00007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5718" name="Button 118" hidden="1">
              <a:extLst>
                <a:ext uri="{63B3BB69-23CF-44E3-9099-C40C66FF867C}">
                  <a14:compatExt spid="_x0000_s25718"/>
                </a:ext>
                <a:ext uri="{FF2B5EF4-FFF2-40B4-BE49-F238E27FC236}">
                  <a16:creationId xmlns:a16="http://schemas.microsoft.com/office/drawing/2014/main" id="{00000000-0008-0000-0500-00007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5719" name="Button 119" hidden="1">
              <a:extLst>
                <a:ext uri="{63B3BB69-23CF-44E3-9099-C40C66FF867C}">
                  <a14:compatExt spid="_x0000_s25719"/>
                </a:ext>
                <a:ext uri="{FF2B5EF4-FFF2-40B4-BE49-F238E27FC236}">
                  <a16:creationId xmlns:a16="http://schemas.microsoft.com/office/drawing/2014/main" id="{00000000-0008-0000-0500-00007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5720" name="Button 120" hidden="1">
              <a:extLst>
                <a:ext uri="{63B3BB69-23CF-44E3-9099-C40C66FF867C}">
                  <a14:compatExt spid="_x0000_s25720"/>
                </a:ext>
                <a:ext uri="{FF2B5EF4-FFF2-40B4-BE49-F238E27FC236}">
                  <a16:creationId xmlns:a16="http://schemas.microsoft.com/office/drawing/2014/main" id="{00000000-0008-0000-0500-00007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5721" name="Button 121" hidden="1">
              <a:extLst>
                <a:ext uri="{63B3BB69-23CF-44E3-9099-C40C66FF867C}">
                  <a14:compatExt spid="_x0000_s25721"/>
                </a:ext>
                <a:ext uri="{FF2B5EF4-FFF2-40B4-BE49-F238E27FC236}">
                  <a16:creationId xmlns:a16="http://schemas.microsoft.com/office/drawing/2014/main" id="{00000000-0008-0000-0500-00007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5722" name="Button 122" hidden="1">
              <a:extLst>
                <a:ext uri="{63B3BB69-23CF-44E3-9099-C40C66FF867C}">
                  <a14:compatExt spid="_x0000_s25722"/>
                </a:ext>
                <a:ext uri="{FF2B5EF4-FFF2-40B4-BE49-F238E27FC236}">
                  <a16:creationId xmlns:a16="http://schemas.microsoft.com/office/drawing/2014/main" id="{00000000-0008-0000-0500-00007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5723" name="Button 123" hidden="1">
              <a:extLst>
                <a:ext uri="{63B3BB69-23CF-44E3-9099-C40C66FF867C}">
                  <a14:compatExt spid="_x0000_s25723"/>
                </a:ext>
                <a:ext uri="{FF2B5EF4-FFF2-40B4-BE49-F238E27FC236}">
                  <a16:creationId xmlns:a16="http://schemas.microsoft.com/office/drawing/2014/main" id="{00000000-0008-0000-0500-00007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5724" name="Button 124" hidden="1">
              <a:extLst>
                <a:ext uri="{63B3BB69-23CF-44E3-9099-C40C66FF867C}">
                  <a14:compatExt spid="_x0000_s25724"/>
                </a:ext>
                <a:ext uri="{FF2B5EF4-FFF2-40B4-BE49-F238E27FC236}">
                  <a16:creationId xmlns:a16="http://schemas.microsoft.com/office/drawing/2014/main" id="{00000000-0008-0000-0500-00007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5725" name="Button 125" hidden="1">
              <a:extLst>
                <a:ext uri="{63B3BB69-23CF-44E3-9099-C40C66FF867C}">
                  <a14:compatExt spid="_x0000_s25725"/>
                </a:ext>
                <a:ext uri="{FF2B5EF4-FFF2-40B4-BE49-F238E27FC236}">
                  <a16:creationId xmlns:a16="http://schemas.microsoft.com/office/drawing/2014/main" id="{00000000-0008-0000-0500-00007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5726" name="Button 126" hidden="1">
              <a:extLst>
                <a:ext uri="{63B3BB69-23CF-44E3-9099-C40C66FF867C}">
                  <a14:compatExt spid="_x0000_s25726"/>
                </a:ext>
                <a:ext uri="{FF2B5EF4-FFF2-40B4-BE49-F238E27FC236}">
                  <a16:creationId xmlns:a16="http://schemas.microsoft.com/office/drawing/2014/main" id="{00000000-0008-0000-0500-00007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5727" name="Button 127" hidden="1">
              <a:extLst>
                <a:ext uri="{63B3BB69-23CF-44E3-9099-C40C66FF867C}">
                  <a14:compatExt spid="_x0000_s25727"/>
                </a:ext>
                <a:ext uri="{FF2B5EF4-FFF2-40B4-BE49-F238E27FC236}">
                  <a16:creationId xmlns:a16="http://schemas.microsoft.com/office/drawing/2014/main" id="{00000000-0008-0000-0500-00007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5728" name="Button 128" hidden="1">
              <a:extLst>
                <a:ext uri="{63B3BB69-23CF-44E3-9099-C40C66FF867C}">
                  <a14:compatExt spid="_x0000_s25728"/>
                </a:ext>
                <a:ext uri="{FF2B5EF4-FFF2-40B4-BE49-F238E27FC236}">
                  <a16:creationId xmlns:a16="http://schemas.microsoft.com/office/drawing/2014/main" id="{00000000-0008-0000-0500-00008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5729" name="Button 129" hidden="1">
              <a:extLst>
                <a:ext uri="{63B3BB69-23CF-44E3-9099-C40C66FF867C}">
                  <a14:compatExt spid="_x0000_s25729"/>
                </a:ext>
                <a:ext uri="{FF2B5EF4-FFF2-40B4-BE49-F238E27FC236}">
                  <a16:creationId xmlns:a16="http://schemas.microsoft.com/office/drawing/2014/main" id="{00000000-0008-0000-0500-00008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5730" name="Button 130" hidden="1">
              <a:extLst>
                <a:ext uri="{63B3BB69-23CF-44E3-9099-C40C66FF867C}">
                  <a14:compatExt spid="_x0000_s25730"/>
                </a:ext>
                <a:ext uri="{FF2B5EF4-FFF2-40B4-BE49-F238E27FC236}">
                  <a16:creationId xmlns:a16="http://schemas.microsoft.com/office/drawing/2014/main" id="{00000000-0008-0000-0500-00008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5731" name="Button 131" hidden="1">
              <a:extLst>
                <a:ext uri="{63B3BB69-23CF-44E3-9099-C40C66FF867C}">
                  <a14:compatExt spid="_x0000_s25731"/>
                </a:ext>
                <a:ext uri="{FF2B5EF4-FFF2-40B4-BE49-F238E27FC236}">
                  <a16:creationId xmlns:a16="http://schemas.microsoft.com/office/drawing/2014/main" id="{00000000-0008-0000-0500-00008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5732" name="Button 132" hidden="1">
              <a:extLst>
                <a:ext uri="{63B3BB69-23CF-44E3-9099-C40C66FF867C}">
                  <a14:compatExt spid="_x0000_s25732"/>
                </a:ext>
                <a:ext uri="{FF2B5EF4-FFF2-40B4-BE49-F238E27FC236}">
                  <a16:creationId xmlns:a16="http://schemas.microsoft.com/office/drawing/2014/main" id="{00000000-0008-0000-0500-00008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5733" name="Button 133" hidden="1">
              <a:extLst>
                <a:ext uri="{63B3BB69-23CF-44E3-9099-C40C66FF867C}">
                  <a14:compatExt spid="_x0000_s25733"/>
                </a:ext>
                <a:ext uri="{FF2B5EF4-FFF2-40B4-BE49-F238E27FC236}">
                  <a16:creationId xmlns:a16="http://schemas.microsoft.com/office/drawing/2014/main" id="{00000000-0008-0000-0500-00008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5734" name="Button 134" hidden="1">
              <a:extLst>
                <a:ext uri="{63B3BB69-23CF-44E3-9099-C40C66FF867C}">
                  <a14:compatExt spid="_x0000_s25734"/>
                </a:ext>
                <a:ext uri="{FF2B5EF4-FFF2-40B4-BE49-F238E27FC236}">
                  <a16:creationId xmlns:a16="http://schemas.microsoft.com/office/drawing/2014/main" id="{00000000-0008-0000-0500-00008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5735" name="Button 135" hidden="1">
              <a:extLst>
                <a:ext uri="{63B3BB69-23CF-44E3-9099-C40C66FF867C}">
                  <a14:compatExt spid="_x0000_s25735"/>
                </a:ext>
                <a:ext uri="{FF2B5EF4-FFF2-40B4-BE49-F238E27FC236}">
                  <a16:creationId xmlns:a16="http://schemas.microsoft.com/office/drawing/2014/main" id="{00000000-0008-0000-0500-00008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5736" name="Button 136" hidden="1">
              <a:extLst>
                <a:ext uri="{63B3BB69-23CF-44E3-9099-C40C66FF867C}">
                  <a14:compatExt spid="_x0000_s25736"/>
                </a:ext>
                <a:ext uri="{FF2B5EF4-FFF2-40B4-BE49-F238E27FC236}">
                  <a16:creationId xmlns:a16="http://schemas.microsoft.com/office/drawing/2014/main" id="{00000000-0008-0000-0500-00008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5737" name="Button 137" hidden="1">
              <a:extLst>
                <a:ext uri="{63B3BB69-23CF-44E3-9099-C40C66FF867C}">
                  <a14:compatExt spid="_x0000_s25737"/>
                </a:ext>
                <a:ext uri="{FF2B5EF4-FFF2-40B4-BE49-F238E27FC236}">
                  <a16:creationId xmlns:a16="http://schemas.microsoft.com/office/drawing/2014/main" id="{00000000-0008-0000-0500-00008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5738" name="Button 138" hidden="1">
              <a:extLst>
                <a:ext uri="{63B3BB69-23CF-44E3-9099-C40C66FF867C}">
                  <a14:compatExt spid="_x0000_s25738"/>
                </a:ext>
                <a:ext uri="{FF2B5EF4-FFF2-40B4-BE49-F238E27FC236}">
                  <a16:creationId xmlns:a16="http://schemas.microsoft.com/office/drawing/2014/main" id="{00000000-0008-0000-0500-00008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5739" name="Button 139" hidden="1">
              <a:extLst>
                <a:ext uri="{63B3BB69-23CF-44E3-9099-C40C66FF867C}">
                  <a14:compatExt spid="_x0000_s25739"/>
                </a:ext>
                <a:ext uri="{FF2B5EF4-FFF2-40B4-BE49-F238E27FC236}">
                  <a16:creationId xmlns:a16="http://schemas.microsoft.com/office/drawing/2014/main" id="{00000000-0008-0000-0500-00008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5740" name="Button 140" hidden="1">
              <a:extLst>
                <a:ext uri="{63B3BB69-23CF-44E3-9099-C40C66FF867C}">
                  <a14:compatExt spid="_x0000_s25740"/>
                </a:ext>
                <a:ext uri="{FF2B5EF4-FFF2-40B4-BE49-F238E27FC236}">
                  <a16:creationId xmlns:a16="http://schemas.microsoft.com/office/drawing/2014/main" id="{00000000-0008-0000-0500-00008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6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6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6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6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6629" name="Button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6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6630" name="Button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6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6631" name="Button 7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6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6632" name="Button 8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6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6633" name="Button 9" hidden="1">
              <a:extLst>
                <a:ext uri="{63B3BB69-23CF-44E3-9099-C40C66FF867C}">
                  <a14:compatExt spid="_x0000_s26633"/>
                </a:ext>
                <a:ext uri="{FF2B5EF4-FFF2-40B4-BE49-F238E27FC236}">
                  <a16:creationId xmlns:a16="http://schemas.microsoft.com/office/drawing/2014/main" id="{00000000-0008-0000-0600-00000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6634" name="Button 10" hidden="1">
              <a:extLst>
                <a:ext uri="{63B3BB69-23CF-44E3-9099-C40C66FF867C}">
                  <a14:compatExt spid="_x0000_s26634"/>
                </a:ext>
                <a:ext uri="{FF2B5EF4-FFF2-40B4-BE49-F238E27FC236}">
                  <a16:creationId xmlns:a16="http://schemas.microsoft.com/office/drawing/2014/main" id="{00000000-0008-0000-0600-00000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6635" name="Button 11" hidden="1">
              <a:extLst>
                <a:ext uri="{63B3BB69-23CF-44E3-9099-C40C66FF867C}">
                  <a14:compatExt spid="_x0000_s26635"/>
                </a:ext>
                <a:ext uri="{FF2B5EF4-FFF2-40B4-BE49-F238E27FC236}">
                  <a16:creationId xmlns:a16="http://schemas.microsoft.com/office/drawing/2014/main" id="{00000000-0008-0000-0600-00000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6636" name="Button 12" hidden="1">
              <a:extLst>
                <a:ext uri="{63B3BB69-23CF-44E3-9099-C40C66FF867C}">
                  <a14:compatExt spid="_x0000_s26636"/>
                </a:ext>
                <a:ext uri="{FF2B5EF4-FFF2-40B4-BE49-F238E27FC236}">
                  <a16:creationId xmlns:a16="http://schemas.microsoft.com/office/drawing/2014/main" id="{00000000-0008-0000-0600-00000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6637" name="Button 13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06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6638" name="Button 14" hidden="1">
              <a:extLst>
                <a:ext uri="{63B3BB69-23CF-44E3-9099-C40C66FF867C}">
                  <a14:compatExt spid="_x0000_s26638"/>
                </a:ext>
                <a:ext uri="{FF2B5EF4-FFF2-40B4-BE49-F238E27FC236}">
                  <a16:creationId xmlns:a16="http://schemas.microsoft.com/office/drawing/2014/main" id="{00000000-0008-0000-0600-00000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6639" name="Button 15" hidden="1">
              <a:extLst>
                <a:ext uri="{63B3BB69-23CF-44E3-9099-C40C66FF867C}">
                  <a14:compatExt spid="_x0000_s26639"/>
                </a:ext>
                <a:ext uri="{FF2B5EF4-FFF2-40B4-BE49-F238E27FC236}">
                  <a16:creationId xmlns:a16="http://schemas.microsoft.com/office/drawing/2014/main" id="{00000000-0008-0000-0600-00000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6640" name="Button 16" hidden="1">
              <a:extLst>
                <a:ext uri="{63B3BB69-23CF-44E3-9099-C40C66FF867C}">
                  <a14:compatExt spid="_x0000_s26640"/>
                </a:ext>
                <a:ext uri="{FF2B5EF4-FFF2-40B4-BE49-F238E27FC236}">
                  <a16:creationId xmlns:a16="http://schemas.microsoft.com/office/drawing/2014/main" id="{00000000-0008-0000-0600-00001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6641" name="Button 17" hidden="1">
              <a:extLst>
                <a:ext uri="{63B3BB69-23CF-44E3-9099-C40C66FF867C}">
                  <a14:compatExt spid="_x0000_s26641"/>
                </a:ext>
                <a:ext uri="{FF2B5EF4-FFF2-40B4-BE49-F238E27FC236}">
                  <a16:creationId xmlns:a16="http://schemas.microsoft.com/office/drawing/2014/main" id="{00000000-0008-0000-0600-00001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6642" name="Button 18" hidden="1">
              <a:extLst>
                <a:ext uri="{63B3BB69-23CF-44E3-9099-C40C66FF867C}">
                  <a14:compatExt spid="_x0000_s26642"/>
                </a:ext>
                <a:ext uri="{FF2B5EF4-FFF2-40B4-BE49-F238E27FC236}">
                  <a16:creationId xmlns:a16="http://schemas.microsoft.com/office/drawing/2014/main" id="{00000000-0008-0000-0600-00001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6643" name="Button 19" hidden="1">
              <a:extLst>
                <a:ext uri="{63B3BB69-23CF-44E3-9099-C40C66FF867C}">
                  <a14:compatExt spid="_x0000_s26643"/>
                </a:ext>
                <a:ext uri="{FF2B5EF4-FFF2-40B4-BE49-F238E27FC236}">
                  <a16:creationId xmlns:a16="http://schemas.microsoft.com/office/drawing/2014/main" id="{00000000-0008-0000-0600-00001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6644" name="Button 20" hidden="1">
              <a:extLst>
                <a:ext uri="{63B3BB69-23CF-44E3-9099-C40C66FF867C}">
                  <a14:compatExt spid="_x0000_s26644"/>
                </a:ext>
                <a:ext uri="{FF2B5EF4-FFF2-40B4-BE49-F238E27FC236}">
                  <a16:creationId xmlns:a16="http://schemas.microsoft.com/office/drawing/2014/main" id="{00000000-0008-0000-0600-00001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6645" name="Button 21" hidden="1">
              <a:extLst>
                <a:ext uri="{63B3BB69-23CF-44E3-9099-C40C66FF867C}">
                  <a14:compatExt spid="_x0000_s26645"/>
                </a:ext>
                <a:ext uri="{FF2B5EF4-FFF2-40B4-BE49-F238E27FC236}">
                  <a16:creationId xmlns:a16="http://schemas.microsoft.com/office/drawing/2014/main" id="{00000000-0008-0000-0600-00001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6646" name="Button 22" hidden="1">
              <a:extLst>
                <a:ext uri="{63B3BB69-23CF-44E3-9099-C40C66FF867C}">
                  <a14:compatExt spid="_x0000_s26646"/>
                </a:ext>
                <a:ext uri="{FF2B5EF4-FFF2-40B4-BE49-F238E27FC236}">
                  <a16:creationId xmlns:a16="http://schemas.microsoft.com/office/drawing/2014/main" id="{00000000-0008-0000-0600-00001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6647" name="Button 23" hidden="1">
              <a:extLst>
                <a:ext uri="{63B3BB69-23CF-44E3-9099-C40C66FF867C}">
                  <a14:compatExt spid="_x0000_s26647"/>
                </a:ext>
                <a:ext uri="{FF2B5EF4-FFF2-40B4-BE49-F238E27FC236}">
                  <a16:creationId xmlns:a16="http://schemas.microsoft.com/office/drawing/2014/main" id="{00000000-0008-0000-0600-00001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6648" name="Button 24" hidden="1">
              <a:extLst>
                <a:ext uri="{63B3BB69-23CF-44E3-9099-C40C66FF867C}">
                  <a14:compatExt spid="_x0000_s26648"/>
                </a:ext>
                <a:ext uri="{FF2B5EF4-FFF2-40B4-BE49-F238E27FC236}">
                  <a16:creationId xmlns:a16="http://schemas.microsoft.com/office/drawing/2014/main" id="{00000000-0008-0000-0600-00001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6649" name="Button 25" hidden="1">
              <a:extLst>
                <a:ext uri="{63B3BB69-23CF-44E3-9099-C40C66FF867C}">
                  <a14:compatExt spid="_x0000_s26649"/>
                </a:ext>
                <a:ext uri="{FF2B5EF4-FFF2-40B4-BE49-F238E27FC236}">
                  <a16:creationId xmlns:a16="http://schemas.microsoft.com/office/drawing/2014/main" id="{00000000-0008-0000-0600-00001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6650" name="Button 26" hidden="1">
              <a:extLst>
                <a:ext uri="{63B3BB69-23CF-44E3-9099-C40C66FF867C}">
                  <a14:compatExt spid="_x0000_s26650"/>
                </a:ext>
                <a:ext uri="{FF2B5EF4-FFF2-40B4-BE49-F238E27FC236}">
                  <a16:creationId xmlns:a16="http://schemas.microsoft.com/office/drawing/2014/main" id="{00000000-0008-0000-0600-00001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6651" name="Button 27" hidden="1">
              <a:extLst>
                <a:ext uri="{63B3BB69-23CF-44E3-9099-C40C66FF867C}">
                  <a14:compatExt spid="_x0000_s26651"/>
                </a:ext>
                <a:ext uri="{FF2B5EF4-FFF2-40B4-BE49-F238E27FC236}">
                  <a16:creationId xmlns:a16="http://schemas.microsoft.com/office/drawing/2014/main" id="{00000000-0008-0000-0600-00001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6652" name="Button 28" hidden="1">
              <a:extLst>
                <a:ext uri="{63B3BB69-23CF-44E3-9099-C40C66FF867C}">
                  <a14:compatExt spid="_x0000_s26652"/>
                </a:ext>
                <a:ext uri="{FF2B5EF4-FFF2-40B4-BE49-F238E27FC236}">
                  <a16:creationId xmlns:a16="http://schemas.microsoft.com/office/drawing/2014/main" id="{00000000-0008-0000-0600-00001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6653" name="Button 29" hidden="1">
              <a:extLst>
                <a:ext uri="{63B3BB69-23CF-44E3-9099-C40C66FF867C}">
                  <a14:compatExt spid="_x0000_s26653"/>
                </a:ext>
                <a:ext uri="{FF2B5EF4-FFF2-40B4-BE49-F238E27FC236}">
                  <a16:creationId xmlns:a16="http://schemas.microsoft.com/office/drawing/2014/main" id="{00000000-0008-0000-0600-00001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6654" name="Button 30" hidden="1">
              <a:extLst>
                <a:ext uri="{63B3BB69-23CF-44E3-9099-C40C66FF867C}">
                  <a14:compatExt spid="_x0000_s26654"/>
                </a:ext>
                <a:ext uri="{FF2B5EF4-FFF2-40B4-BE49-F238E27FC236}">
                  <a16:creationId xmlns:a16="http://schemas.microsoft.com/office/drawing/2014/main" id="{00000000-0008-0000-0600-00001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6655" name="Button 31" hidden="1">
              <a:extLst>
                <a:ext uri="{63B3BB69-23CF-44E3-9099-C40C66FF867C}">
                  <a14:compatExt spid="_x0000_s26655"/>
                </a:ext>
                <a:ext uri="{FF2B5EF4-FFF2-40B4-BE49-F238E27FC236}">
                  <a16:creationId xmlns:a16="http://schemas.microsoft.com/office/drawing/2014/main" id="{00000000-0008-0000-0600-00001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6656" name="Button 32" hidden="1">
              <a:extLst>
                <a:ext uri="{63B3BB69-23CF-44E3-9099-C40C66FF867C}">
                  <a14:compatExt spid="_x0000_s26656"/>
                </a:ext>
                <a:ext uri="{FF2B5EF4-FFF2-40B4-BE49-F238E27FC236}">
                  <a16:creationId xmlns:a16="http://schemas.microsoft.com/office/drawing/2014/main" id="{00000000-0008-0000-0600-00002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6657" name="Button 33" hidden="1">
              <a:extLst>
                <a:ext uri="{63B3BB69-23CF-44E3-9099-C40C66FF867C}">
                  <a14:compatExt spid="_x0000_s26657"/>
                </a:ext>
                <a:ext uri="{FF2B5EF4-FFF2-40B4-BE49-F238E27FC236}">
                  <a16:creationId xmlns:a16="http://schemas.microsoft.com/office/drawing/2014/main" id="{00000000-0008-0000-0600-00002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6658" name="Button 34" hidden="1">
              <a:extLst>
                <a:ext uri="{63B3BB69-23CF-44E3-9099-C40C66FF867C}">
                  <a14:compatExt spid="_x0000_s26658"/>
                </a:ext>
                <a:ext uri="{FF2B5EF4-FFF2-40B4-BE49-F238E27FC236}">
                  <a16:creationId xmlns:a16="http://schemas.microsoft.com/office/drawing/2014/main" id="{00000000-0008-0000-0600-00002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6659" name="Button 35" hidden="1">
              <a:extLst>
                <a:ext uri="{63B3BB69-23CF-44E3-9099-C40C66FF867C}">
                  <a14:compatExt spid="_x0000_s26659"/>
                </a:ext>
                <a:ext uri="{FF2B5EF4-FFF2-40B4-BE49-F238E27FC236}">
                  <a16:creationId xmlns:a16="http://schemas.microsoft.com/office/drawing/2014/main" id="{00000000-0008-0000-0600-00002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6660" name="Button 36" hidden="1">
              <a:extLst>
                <a:ext uri="{63B3BB69-23CF-44E3-9099-C40C66FF867C}">
                  <a14:compatExt spid="_x0000_s26660"/>
                </a:ext>
                <a:ext uri="{FF2B5EF4-FFF2-40B4-BE49-F238E27FC236}">
                  <a16:creationId xmlns:a16="http://schemas.microsoft.com/office/drawing/2014/main" id="{00000000-0008-0000-0600-00002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6661" name="Button 37" hidden="1">
              <a:extLst>
                <a:ext uri="{63B3BB69-23CF-44E3-9099-C40C66FF867C}">
                  <a14:compatExt spid="_x0000_s26661"/>
                </a:ext>
                <a:ext uri="{FF2B5EF4-FFF2-40B4-BE49-F238E27FC236}">
                  <a16:creationId xmlns:a16="http://schemas.microsoft.com/office/drawing/2014/main" id="{00000000-0008-0000-0600-00002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6662" name="Button 38" hidden="1">
              <a:extLst>
                <a:ext uri="{63B3BB69-23CF-44E3-9099-C40C66FF867C}">
                  <a14:compatExt spid="_x0000_s26662"/>
                </a:ext>
                <a:ext uri="{FF2B5EF4-FFF2-40B4-BE49-F238E27FC236}">
                  <a16:creationId xmlns:a16="http://schemas.microsoft.com/office/drawing/2014/main" id="{00000000-0008-0000-0600-00002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6663" name="Button 39" hidden="1">
              <a:extLst>
                <a:ext uri="{63B3BB69-23CF-44E3-9099-C40C66FF867C}">
                  <a14:compatExt spid="_x0000_s26663"/>
                </a:ext>
                <a:ext uri="{FF2B5EF4-FFF2-40B4-BE49-F238E27FC236}">
                  <a16:creationId xmlns:a16="http://schemas.microsoft.com/office/drawing/2014/main" id="{00000000-0008-0000-0600-00002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6664" name="Button 40" hidden="1">
              <a:extLst>
                <a:ext uri="{63B3BB69-23CF-44E3-9099-C40C66FF867C}">
                  <a14:compatExt spid="_x0000_s26664"/>
                </a:ext>
                <a:ext uri="{FF2B5EF4-FFF2-40B4-BE49-F238E27FC236}">
                  <a16:creationId xmlns:a16="http://schemas.microsoft.com/office/drawing/2014/main" id="{00000000-0008-0000-0600-00002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6665" name="Button 41" hidden="1">
              <a:extLst>
                <a:ext uri="{63B3BB69-23CF-44E3-9099-C40C66FF867C}">
                  <a14:compatExt spid="_x0000_s26665"/>
                </a:ext>
                <a:ext uri="{FF2B5EF4-FFF2-40B4-BE49-F238E27FC236}">
                  <a16:creationId xmlns:a16="http://schemas.microsoft.com/office/drawing/2014/main" id="{00000000-0008-0000-0600-00002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6666" name="Button 42" hidden="1">
              <a:extLst>
                <a:ext uri="{63B3BB69-23CF-44E3-9099-C40C66FF867C}">
                  <a14:compatExt spid="_x0000_s26666"/>
                </a:ext>
                <a:ext uri="{FF2B5EF4-FFF2-40B4-BE49-F238E27FC236}">
                  <a16:creationId xmlns:a16="http://schemas.microsoft.com/office/drawing/2014/main" id="{00000000-0008-0000-0600-00002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6667" name="Button 43" hidden="1">
              <a:extLst>
                <a:ext uri="{63B3BB69-23CF-44E3-9099-C40C66FF867C}">
                  <a14:compatExt spid="_x0000_s26667"/>
                </a:ext>
                <a:ext uri="{FF2B5EF4-FFF2-40B4-BE49-F238E27FC236}">
                  <a16:creationId xmlns:a16="http://schemas.microsoft.com/office/drawing/2014/main" id="{00000000-0008-0000-0600-00002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6668" name="Button 44" hidden="1">
              <a:extLst>
                <a:ext uri="{63B3BB69-23CF-44E3-9099-C40C66FF867C}">
                  <a14:compatExt spid="_x0000_s26668"/>
                </a:ext>
                <a:ext uri="{FF2B5EF4-FFF2-40B4-BE49-F238E27FC236}">
                  <a16:creationId xmlns:a16="http://schemas.microsoft.com/office/drawing/2014/main" id="{00000000-0008-0000-0600-00002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6669" name="Button 45" hidden="1">
              <a:extLst>
                <a:ext uri="{63B3BB69-23CF-44E3-9099-C40C66FF867C}">
                  <a14:compatExt spid="_x0000_s26669"/>
                </a:ext>
                <a:ext uri="{FF2B5EF4-FFF2-40B4-BE49-F238E27FC236}">
                  <a16:creationId xmlns:a16="http://schemas.microsoft.com/office/drawing/2014/main" id="{00000000-0008-0000-0600-00002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6670" name="Button 46" hidden="1">
              <a:extLst>
                <a:ext uri="{63B3BB69-23CF-44E3-9099-C40C66FF867C}">
                  <a14:compatExt spid="_x0000_s26670"/>
                </a:ext>
                <a:ext uri="{FF2B5EF4-FFF2-40B4-BE49-F238E27FC236}">
                  <a16:creationId xmlns:a16="http://schemas.microsoft.com/office/drawing/2014/main" id="{00000000-0008-0000-0600-00002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6671" name="Button 47" hidden="1">
              <a:extLst>
                <a:ext uri="{63B3BB69-23CF-44E3-9099-C40C66FF867C}">
                  <a14:compatExt spid="_x0000_s26671"/>
                </a:ext>
                <a:ext uri="{FF2B5EF4-FFF2-40B4-BE49-F238E27FC236}">
                  <a16:creationId xmlns:a16="http://schemas.microsoft.com/office/drawing/2014/main" id="{00000000-0008-0000-0600-00002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6672" name="Button 48" hidden="1">
              <a:extLst>
                <a:ext uri="{63B3BB69-23CF-44E3-9099-C40C66FF867C}">
                  <a14:compatExt spid="_x0000_s26672"/>
                </a:ext>
                <a:ext uri="{FF2B5EF4-FFF2-40B4-BE49-F238E27FC236}">
                  <a16:creationId xmlns:a16="http://schemas.microsoft.com/office/drawing/2014/main" id="{00000000-0008-0000-0600-00003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6673" name="Button 49" hidden="1">
              <a:extLst>
                <a:ext uri="{63B3BB69-23CF-44E3-9099-C40C66FF867C}">
                  <a14:compatExt spid="_x0000_s26673"/>
                </a:ext>
                <a:ext uri="{FF2B5EF4-FFF2-40B4-BE49-F238E27FC236}">
                  <a16:creationId xmlns:a16="http://schemas.microsoft.com/office/drawing/2014/main" id="{00000000-0008-0000-0600-00003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6674" name="Button 50" hidden="1">
              <a:extLst>
                <a:ext uri="{63B3BB69-23CF-44E3-9099-C40C66FF867C}">
                  <a14:compatExt spid="_x0000_s26674"/>
                </a:ext>
                <a:ext uri="{FF2B5EF4-FFF2-40B4-BE49-F238E27FC236}">
                  <a16:creationId xmlns:a16="http://schemas.microsoft.com/office/drawing/2014/main" id="{00000000-0008-0000-0600-00003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6675" name="Button 51" hidden="1">
              <a:extLst>
                <a:ext uri="{63B3BB69-23CF-44E3-9099-C40C66FF867C}">
                  <a14:compatExt spid="_x0000_s26675"/>
                </a:ext>
                <a:ext uri="{FF2B5EF4-FFF2-40B4-BE49-F238E27FC236}">
                  <a16:creationId xmlns:a16="http://schemas.microsoft.com/office/drawing/2014/main" id="{00000000-0008-0000-0600-00003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6676" name="Button 52" hidden="1">
              <a:extLst>
                <a:ext uri="{63B3BB69-23CF-44E3-9099-C40C66FF867C}">
                  <a14:compatExt spid="_x0000_s26676"/>
                </a:ext>
                <a:ext uri="{FF2B5EF4-FFF2-40B4-BE49-F238E27FC236}">
                  <a16:creationId xmlns:a16="http://schemas.microsoft.com/office/drawing/2014/main" id="{00000000-0008-0000-0600-00003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6677" name="Button 53" hidden="1">
              <a:extLst>
                <a:ext uri="{63B3BB69-23CF-44E3-9099-C40C66FF867C}">
                  <a14:compatExt spid="_x0000_s26677"/>
                </a:ext>
                <a:ext uri="{FF2B5EF4-FFF2-40B4-BE49-F238E27FC236}">
                  <a16:creationId xmlns:a16="http://schemas.microsoft.com/office/drawing/2014/main" id="{00000000-0008-0000-0600-00003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6678" name="Button 54" hidden="1">
              <a:extLst>
                <a:ext uri="{63B3BB69-23CF-44E3-9099-C40C66FF867C}">
                  <a14:compatExt spid="_x0000_s26678"/>
                </a:ext>
                <a:ext uri="{FF2B5EF4-FFF2-40B4-BE49-F238E27FC236}">
                  <a16:creationId xmlns:a16="http://schemas.microsoft.com/office/drawing/2014/main" id="{00000000-0008-0000-0600-00003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6679" name="Button 55" hidden="1">
              <a:extLst>
                <a:ext uri="{63B3BB69-23CF-44E3-9099-C40C66FF867C}">
                  <a14:compatExt spid="_x0000_s26679"/>
                </a:ext>
                <a:ext uri="{FF2B5EF4-FFF2-40B4-BE49-F238E27FC236}">
                  <a16:creationId xmlns:a16="http://schemas.microsoft.com/office/drawing/2014/main" id="{00000000-0008-0000-0600-00003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6680" name="Button 56" hidden="1">
              <a:extLst>
                <a:ext uri="{63B3BB69-23CF-44E3-9099-C40C66FF867C}">
                  <a14:compatExt spid="_x0000_s26680"/>
                </a:ext>
                <a:ext uri="{FF2B5EF4-FFF2-40B4-BE49-F238E27FC236}">
                  <a16:creationId xmlns:a16="http://schemas.microsoft.com/office/drawing/2014/main" id="{00000000-0008-0000-0600-00003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6681" name="Button 57" hidden="1">
              <a:extLst>
                <a:ext uri="{63B3BB69-23CF-44E3-9099-C40C66FF867C}">
                  <a14:compatExt spid="_x0000_s26681"/>
                </a:ext>
                <a:ext uri="{FF2B5EF4-FFF2-40B4-BE49-F238E27FC236}">
                  <a16:creationId xmlns:a16="http://schemas.microsoft.com/office/drawing/2014/main" id="{00000000-0008-0000-0600-00003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6682" name="Button 58" hidden="1">
              <a:extLst>
                <a:ext uri="{63B3BB69-23CF-44E3-9099-C40C66FF867C}">
                  <a14:compatExt spid="_x0000_s26682"/>
                </a:ext>
                <a:ext uri="{FF2B5EF4-FFF2-40B4-BE49-F238E27FC236}">
                  <a16:creationId xmlns:a16="http://schemas.microsoft.com/office/drawing/2014/main" id="{00000000-0008-0000-0600-00003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6683" name="Button 59" hidden="1">
              <a:extLst>
                <a:ext uri="{63B3BB69-23CF-44E3-9099-C40C66FF867C}">
                  <a14:compatExt spid="_x0000_s26683"/>
                </a:ext>
                <a:ext uri="{FF2B5EF4-FFF2-40B4-BE49-F238E27FC236}">
                  <a16:creationId xmlns:a16="http://schemas.microsoft.com/office/drawing/2014/main" id="{00000000-0008-0000-0600-00003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6684" name="Button 60" hidden="1">
              <a:extLst>
                <a:ext uri="{63B3BB69-23CF-44E3-9099-C40C66FF867C}">
                  <a14:compatExt spid="_x0000_s26684"/>
                </a:ext>
                <a:ext uri="{FF2B5EF4-FFF2-40B4-BE49-F238E27FC236}">
                  <a16:creationId xmlns:a16="http://schemas.microsoft.com/office/drawing/2014/main" id="{00000000-0008-0000-0600-00003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6685" name="Button 61" hidden="1">
              <a:extLst>
                <a:ext uri="{63B3BB69-23CF-44E3-9099-C40C66FF867C}">
                  <a14:compatExt spid="_x0000_s26685"/>
                </a:ext>
                <a:ext uri="{FF2B5EF4-FFF2-40B4-BE49-F238E27FC236}">
                  <a16:creationId xmlns:a16="http://schemas.microsoft.com/office/drawing/2014/main" id="{00000000-0008-0000-0600-00003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6686" name="Button 62" hidden="1">
              <a:extLst>
                <a:ext uri="{63B3BB69-23CF-44E3-9099-C40C66FF867C}">
                  <a14:compatExt spid="_x0000_s26686"/>
                </a:ext>
                <a:ext uri="{FF2B5EF4-FFF2-40B4-BE49-F238E27FC236}">
                  <a16:creationId xmlns:a16="http://schemas.microsoft.com/office/drawing/2014/main" id="{00000000-0008-0000-0600-00003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6687" name="Button 63" hidden="1">
              <a:extLst>
                <a:ext uri="{63B3BB69-23CF-44E3-9099-C40C66FF867C}">
                  <a14:compatExt spid="_x0000_s26687"/>
                </a:ext>
                <a:ext uri="{FF2B5EF4-FFF2-40B4-BE49-F238E27FC236}">
                  <a16:creationId xmlns:a16="http://schemas.microsoft.com/office/drawing/2014/main" id="{00000000-0008-0000-0600-00003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6688" name="Button 64" hidden="1">
              <a:extLst>
                <a:ext uri="{63B3BB69-23CF-44E3-9099-C40C66FF867C}">
                  <a14:compatExt spid="_x0000_s26688"/>
                </a:ext>
                <a:ext uri="{FF2B5EF4-FFF2-40B4-BE49-F238E27FC236}">
                  <a16:creationId xmlns:a16="http://schemas.microsoft.com/office/drawing/2014/main" id="{00000000-0008-0000-0600-00004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6689" name="Button 65" hidden="1">
              <a:extLst>
                <a:ext uri="{63B3BB69-23CF-44E3-9099-C40C66FF867C}">
                  <a14:compatExt spid="_x0000_s26689"/>
                </a:ext>
                <a:ext uri="{FF2B5EF4-FFF2-40B4-BE49-F238E27FC236}">
                  <a16:creationId xmlns:a16="http://schemas.microsoft.com/office/drawing/2014/main" id="{00000000-0008-0000-0600-00004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6690" name="Button 66" hidden="1">
              <a:extLst>
                <a:ext uri="{63B3BB69-23CF-44E3-9099-C40C66FF867C}">
                  <a14:compatExt spid="_x0000_s26690"/>
                </a:ext>
                <a:ext uri="{FF2B5EF4-FFF2-40B4-BE49-F238E27FC236}">
                  <a16:creationId xmlns:a16="http://schemas.microsoft.com/office/drawing/2014/main" id="{00000000-0008-0000-0600-00004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6691" name="Button 67" hidden="1">
              <a:extLst>
                <a:ext uri="{63B3BB69-23CF-44E3-9099-C40C66FF867C}">
                  <a14:compatExt spid="_x0000_s26691"/>
                </a:ext>
                <a:ext uri="{FF2B5EF4-FFF2-40B4-BE49-F238E27FC236}">
                  <a16:creationId xmlns:a16="http://schemas.microsoft.com/office/drawing/2014/main" id="{00000000-0008-0000-0600-00004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6692" name="Button 68" hidden="1">
              <a:extLst>
                <a:ext uri="{63B3BB69-23CF-44E3-9099-C40C66FF867C}">
                  <a14:compatExt spid="_x0000_s26692"/>
                </a:ext>
                <a:ext uri="{FF2B5EF4-FFF2-40B4-BE49-F238E27FC236}">
                  <a16:creationId xmlns:a16="http://schemas.microsoft.com/office/drawing/2014/main" id="{00000000-0008-0000-0600-00004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6693" name="Button 69" hidden="1">
              <a:extLst>
                <a:ext uri="{63B3BB69-23CF-44E3-9099-C40C66FF867C}">
                  <a14:compatExt spid="_x0000_s26693"/>
                </a:ext>
                <a:ext uri="{FF2B5EF4-FFF2-40B4-BE49-F238E27FC236}">
                  <a16:creationId xmlns:a16="http://schemas.microsoft.com/office/drawing/2014/main" id="{00000000-0008-0000-0600-00004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6694" name="Button 70" hidden="1">
              <a:extLst>
                <a:ext uri="{63B3BB69-23CF-44E3-9099-C40C66FF867C}">
                  <a14:compatExt spid="_x0000_s26694"/>
                </a:ext>
                <a:ext uri="{FF2B5EF4-FFF2-40B4-BE49-F238E27FC236}">
                  <a16:creationId xmlns:a16="http://schemas.microsoft.com/office/drawing/2014/main" id="{00000000-0008-0000-0600-00004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6695" name="Button 71" hidden="1">
              <a:extLst>
                <a:ext uri="{63B3BB69-23CF-44E3-9099-C40C66FF867C}">
                  <a14:compatExt spid="_x0000_s26695"/>
                </a:ext>
                <a:ext uri="{FF2B5EF4-FFF2-40B4-BE49-F238E27FC236}">
                  <a16:creationId xmlns:a16="http://schemas.microsoft.com/office/drawing/2014/main" id="{00000000-0008-0000-0600-00004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6696" name="Button 72" hidden="1">
              <a:extLst>
                <a:ext uri="{63B3BB69-23CF-44E3-9099-C40C66FF867C}">
                  <a14:compatExt spid="_x0000_s26696"/>
                </a:ext>
                <a:ext uri="{FF2B5EF4-FFF2-40B4-BE49-F238E27FC236}">
                  <a16:creationId xmlns:a16="http://schemas.microsoft.com/office/drawing/2014/main" id="{00000000-0008-0000-0600-00004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6697" name="Button 73" hidden="1">
              <a:extLst>
                <a:ext uri="{63B3BB69-23CF-44E3-9099-C40C66FF867C}">
                  <a14:compatExt spid="_x0000_s26697"/>
                </a:ext>
                <a:ext uri="{FF2B5EF4-FFF2-40B4-BE49-F238E27FC236}">
                  <a16:creationId xmlns:a16="http://schemas.microsoft.com/office/drawing/2014/main" id="{00000000-0008-0000-0600-00004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6698" name="Button 74" hidden="1">
              <a:extLst>
                <a:ext uri="{63B3BB69-23CF-44E3-9099-C40C66FF867C}">
                  <a14:compatExt spid="_x0000_s26698"/>
                </a:ext>
                <a:ext uri="{FF2B5EF4-FFF2-40B4-BE49-F238E27FC236}">
                  <a16:creationId xmlns:a16="http://schemas.microsoft.com/office/drawing/2014/main" id="{00000000-0008-0000-0600-00004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6699" name="Button 75" hidden="1">
              <a:extLst>
                <a:ext uri="{63B3BB69-23CF-44E3-9099-C40C66FF867C}">
                  <a14:compatExt spid="_x0000_s26699"/>
                </a:ext>
                <a:ext uri="{FF2B5EF4-FFF2-40B4-BE49-F238E27FC236}">
                  <a16:creationId xmlns:a16="http://schemas.microsoft.com/office/drawing/2014/main" id="{00000000-0008-0000-0600-00004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6700" name="Button 76" hidden="1">
              <a:extLst>
                <a:ext uri="{63B3BB69-23CF-44E3-9099-C40C66FF867C}">
                  <a14:compatExt spid="_x0000_s26700"/>
                </a:ext>
                <a:ext uri="{FF2B5EF4-FFF2-40B4-BE49-F238E27FC236}">
                  <a16:creationId xmlns:a16="http://schemas.microsoft.com/office/drawing/2014/main" id="{00000000-0008-0000-0600-00004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6701" name="Button 77" hidden="1">
              <a:extLst>
                <a:ext uri="{63B3BB69-23CF-44E3-9099-C40C66FF867C}">
                  <a14:compatExt spid="_x0000_s26701"/>
                </a:ext>
                <a:ext uri="{FF2B5EF4-FFF2-40B4-BE49-F238E27FC236}">
                  <a16:creationId xmlns:a16="http://schemas.microsoft.com/office/drawing/2014/main" id="{00000000-0008-0000-0600-00004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6702" name="Button 78" hidden="1">
              <a:extLst>
                <a:ext uri="{63B3BB69-23CF-44E3-9099-C40C66FF867C}">
                  <a14:compatExt spid="_x0000_s26702"/>
                </a:ext>
                <a:ext uri="{FF2B5EF4-FFF2-40B4-BE49-F238E27FC236}">
                  <a16:creationId xmlns:a16="http://schemas.microsoft.com/office/drawing/2014/main" id="{00000000-0008-0000-0600-00004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6703" name="Button 79" hidden="1">
              <a:extLst>
                <a:ext uri="{63B3BB69-23CF-44E3-9099-C40C66FF867C}">
                  <a14:compatExt spid="_x0000_s26703"/>
                </a:ext>
                <a:ext uri="{FF2B5EF4-FFF2-40B4-BE49-F238E27FC236}">
                  <a16:creationId xmlns:a16="http://schemas.microsoft.com/office/drawing/2014/main" id="{00000000-0008-0000-0600-00004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6704" name="Button 80" hidden="1">
              <a:extLst>
                <a:ext uri="{63B3BB69-23CF-44E3-9099-C40C66FF867C}">
                  <a14:compatExt spid="_x0000_s26704"/>
                </a:ext>
                <a:ext uri="{FF2B5EF4-FFF2-40B4-BE49-F238E27FC236}">
                  <a16:creationId xmlns:a16="http://schemas.microsoft.com/office/drawing/2014/main" id="{00000000-0008-0000-0600-00005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6705" name="Button 81" hidden="1">
              <a:extLst>
                <a:ext uri="{63B3BB69-23CF-44E3-9099-C40C66FF867C}">
                  <a14:compatExt spid="_x0000_s26705"/>
                </a:ext>
                <a:ext uri="{FF2B5EF4-FFF2-40B4-BE49-F238E27FC236}">
                  <a16:creationId xmlns:a16="http://schemas.microsoft.com/office/drawing/2014/main" id="{00000000-0008-0000-0600-00005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6706" name="Button 82" hidden="1">
              <a:extLst>
                <a:ext uri="{63B3BB69-23CF-44E3-9099-C40C66FF867C}">
                  <a14:compatExt spid="_x0000_s26706"/>
                </a:ext>
                <a:ext uri="{FF2B5EF4-FFF2-40B4-BE49-F238E27FC236}">
                  <a16:creationId xmlns:a16="http://schemas.microsoft.com/office/drawing/2014/main" id="{00000000-0008-0000-0600-00005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6707" name="Button 83" hidden="1">
              <a:extLst>
                <a:ext uri="{63B3BB69-23CF-44E3-9099-C40C66FF867C}">
                  <a14:compatExt spid="_x0000_s26707"/>
                </a:ext>
                <a:ext uri="{FF2B5EF4-FFF2-40B4-BE49-F238E27FC236}">
                  <a16:creationId xmlns:a16="http://schemas.microsoft.com/office/drawing/2014/main" id="{00000000-0008-0000-0600-00005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6708" name="Button 84" hidden="1">
              <a:extLst>
                <a:ext uri="{63B3BB69-23CF-44E3-9099-C40C66FF867C}">
                  <a14:compatExt spid="_x0000_s26708"/>
                </a:ext>
                <a:ext uri="{FF2B5EF4-FFF2-40B4-BE49-F238E27FC236}">
                  <a16:creationId xmlns:a16="http://schemas.microsoft.com/office/drawing/2014/main" id="{00000000-0008-0000-0600-00005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6709" name="Button 85" hidden="1">
              <a:extLst>
                <a:ext uri="{63B3BB69-23CF-44E3-9099-C40C66FF867C}">
                  <a14:compatExt spid="_x0000_s26709"/>
                </a:ext>
                <a:ext uri="{FF2B5EF4-FFF2-40B4-BE49-F238E27FC236}">
                  <a16:creationId xmlns:a16="http://schemas.microsoft.com/office/drawing/2014/main" id="{00000000-0008-0000-0600-00005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6710" name="Button 86" hidden="1">
              <a:extLst>
                <a:ext uri="{63B3BB69-23CF-44E3-9099-C40C66FF867C}">
                  <a14:compatExt spid="_x0000_s26710"/>
                </a:ext>
                <a:ext uri="{FF2B5EF4-FFF2-40B4-BE49-F238E27FC236}">
                  <a16:creationId xmlns:a16="http://schemas.microsoft.com/office/drawing/2014/main" id="{00000000-0008-0000-0600-00005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6711" name="Button 87" hidden="1">
              <a:extLst>
                <a:ext uri="{63B3BB69-23CF-44E3-9099-C40C66FF867C}">
                  <a14:compatExt spid="_x0000_s26711"/>
                </a:ext>
                <a:ext uri="{FF2B5EF4-FFF2-40B4-BE49-F238E27FC236}">
                  <a16:creationId xmlns:a16="http://schemas.microsoft.com/office/drawing/2014/main" id="{00000000-0008-0000-0600-00005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6712" name="Button 88" hidden="1">
              <a:extLst>
                <a:ext uri="{63B3BB69-23CF-44E3-9099-C40C66FF867C}">
                  <a14:compatExt spid="_x0000_s26712"/>
                </a:ext>
                <a:ext uri="{FF2B5EF4-FFF2-40B4-BE49-F238E27FC236}">
                  <a16:creationId xmlns:a16="http://schemas.microsoft.com/office/drawing/2014/main" id="{00000000-0008-0000-0600-00005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6713" name="Button 89" hidden="1">
              <a:extLst>
                <a:ext uri="{63B3BB69-23CF-44E3-9099-C40C66FF867C}">
                  <a14:compatExt spid="_x0000_s26713"/>
                </a:ext>
                <a:ext uri="{FF2B5EF4-FFF2-40B4-BE49-F238E27FC236}">
                  <a16:creationId xmlns:a16="http://schemas.microsoft.com/office/drawing/2014/main" id="{00000000-0008-0000-0600-00005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6714" name="Button 90" hidden="1">
              <a:extLst>
                <a:ext uri="{63B3BB69-23CF-44E3-9099-C40C66FF867C}">
                  <a14:compatExt spid="_x0000_s26714"/>
                </a:ext>
                <a:ext uri="{FF2B5EF4-FFF2-40B4-BE49-F238E27FC236}">
                  <a16:creationId xmlns:a16="http://schemas.microsoft.com/office/drawing/2014/main" id="{00000000-0008-0000-0600-00005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6715" name="Button 91" hidden="1">
              <a:extLst>
                <a:ext uri="{63B3BB69-23CF-44E3-9099-C40C66FF867C}">
                  <a14:compatExt spid="_x0000_s26715"/>
                </a:ext>
                <a:ext uri="{FF2B5EF4-FFF2-40B4-BE49-F238E27FC236}">
                  <a16:creationId xmlns:a16="http://schemas.microsoft.com/office/drawing/2014/main" id="{00000000-0008-0000-0600-00005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6716" name="Button 92" hidden="1">
              <a:extLst>
                <a:ext uri="{63B3BB69-23CF-44E3-9099-C40C66FF867C}">
                  <a14:compatExt spid="_x0000_s26716"/>
                </a:ext>
                <a:ext uri="{FF2B5EF4-FFF2-40B4-BE49-F238E27FC236}">
                  <a16:creationId xmlns:a16="http://schemas.microsoft.com/office/drawing/2014/main" id="{00000000-0008-0000-0600-00005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6717" name="Button 93" hidden="1">
              <a:extLst>
                <a:ext uri="{63B3BB69-23CF-44E3-9099-C40C66FF867C}">
                  <a14:compatExt spid="_x0000_s26717"/>
                </a:ext>
                <a:ext uri="{FF2B5EF4-FFF2-40B4-BE49-F238E27FC236}">
                  <a16:creationId xmlns:a16="http://schemas.microsoft.com/office/drawing/2014/main" id="{00000000-0008-0000-0600-00005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6718" name="Button 94" hidden="1">
              <a:extLst>
                <a:ext uri="{63B3BB69-23CF-44E3-9099-C40C66FF867C}">
                  <a14:compatExt spid="_x0000_s26718"/>
                </a:ext>
                <a:ext uri="{FF2B5EF4-FFF2-40B4-BE49-F238E27FC236}">
                  <a16:creationId xmlns:a16="http://schemas.microsoft.com/office/drawing/2014/main" id="{00000000-0008-0000-0600-00005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6719" name="Button 95" hidden="1">
              <a:extLst>
                <a:ext uri="{63B3BB69-23CF-44E3-9099-C40C66FF867C}">
                  <a14:compatExt spid="_x0000_s26719"/>
                </a:ext>
                <a:ext uri="{FF2B5EF4-FFF2-40B4-BE49-F238E27FC236}">
                  <a16:creationId xmlns:a16="http://schemas.microsoft.com/office/drawing/2014/main" id="{00000000-0008-0000-0600-00005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6720" name="Button 96" hidden="1">
              <a:extLst>
                <a:ext uri="{63B3BB69-23CF-44E3-9099-C40C66FF867C}">
                  <a14:compatExt spid="_x0000_s26720"/>
                </a:ext>
                <a:ext uri="{FF2B5EF4-FFF2-40B4-BE49-F238E27FC236}">
                  <a16:creationId xmlns:a16="http://schemas.microsoft.com/office/drawing/2014/main" id="{00000000-0008-0000-0600-00006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6721" name="Button 97" hidden="1">
              <a:extLst>
                <a:ext uri="{63B3BB69-23CF-44E3-9099-C40C66FF867C}">
                  <a14:compatExt spid="_x0000_s26721"/>
                </a:ext>
                <a:ext uri="{FF2B5EF4-FFF2-40B4-BE49-F238E27FC236}">
                  <a16:creationId xmlns:a16="http://schemas.microsoft.com/office/drawing/2014/main" id="{00000000-0008-0000-0600-00006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6722" name="Button 98" hidden="1">
              <a:extLst>
                <a:ext uri="{63B3BB69-23CF-44E3-9099-C40C66FF867C}">
                  <a14:compatExt spid="_x0000_s26722"/>
                </a:ext>
                <a:ext uri="{FF2B5EF4-FFF2-40B4-BE49-F238E27FC236}">
                  <a16:creationId xmlns:a16="http://schemas.microsoft.com/office/drawing/2014/main" id="{00000000-0008-0000-0600-00006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6723" name="Button 99" hidden="1">
              <a:extLst>
                <a:ext uri="{63B3BB69-23CF-44E3-9099-C40C66FF867C}">
                  <a14:compatExt spid="_x0000_s26723"/>
                </a:ext>
                <a:ext uri="{FF2B5EF4-FFF2-40B4-BE49-F238E27FC236}">
                  <a16:creationId xmlns:a16="http://schemas.microsoft.com/office/drawing/2014/main" id="{00000000-0008-0000-0600-00006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6724" name="Button 100" hidden="1">
              <a:extLst>
                <a:ext uri="{63B3BB69-23CF-44E3-9099-C40C66FF867C}">
                  <a14:compatExt spid="_x0000_s26724"/>
                </a:ext>
                <a:ext uri="{FF2B5EF4-FFF2-40B4-BE49-F238E27FC236}">
                  <a16:creationId xmlns:a16="http://schemas.microsoft.com/office/drawing/2014/main" id="{00000000-0008-0000-0600-00006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6725" name="Button 101" hidden="1">
              <a:extLst>
                <a:ext uri="{63B3BB69-23CF-44E3-9099-C40C66FF867C}">
                  <a14:compatExt spid="_x0000_s26725"/>
                </a:ext>
                <a:ext uri="{FF2B5EF4-FFF2-40B4-BE49-F238E27FC236}">
                  <a16:creationId xmlns:a16="http://schemas.microsoft.com/office/drawing/2014/main" id="{00000000-0008-0000-0600-00006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6726" name="Button 102" hidden="1">
              <a:extLst>
                <a:ext uri="{63B3BB69-23CF-44E3-9099-C40C66FF867C}">
                  <a14:compatExt spid="_x0000_s26726"/>
                </a:ext>
                <a:ext uri="{FF2B5EF4-FFF2-40B4-BE49-F238E27FC236}">
                  <a16:creationId xmlns:a16="http://schemas.microsoft.com/office/drawing/2014/main" id="{00000000-0008-0000-0600-00006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6727" name="Button 103" hidden="1">
              <a:extLst>
                <a:ext uri="{63B3BB69-23CF-44E3-9099-C40C66FF867C}">
                  <a14:compatExt spid="_x0000_s26727"/>
                </a:ext>
                <a:ext uri="{FF2B5EF4-FFF2-40B4-BE49-F238E27FC236}">
                  <a16:creationId xmlns:a16="http://schemas.microsoft.com/office/drawing/2014/main" id="{00000000-0008-0000-0600-00006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6728" name="Button 104" hidden="1">
              <a:extLst>
                <a:ext uri="{63B3BB69-23CF-44E3-9099-C40C66FF867C}">
                  <a14:compatExt spid="_x0000_s26728"/>
                </a:ext>
                <a:ext uri="{FF2B5EF4-FFF2-40B4-BE49-F238E27FC236}">
                  <a16:creationId xmlns:a16="http://schemas.microsoft.com/office/drawing/2014/main" id="{00000000-0008-0000-0600-00006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6729" name="Button 105" hidden="1">
              <a:extLst>
                <a:ext uri="{63B3BB69-23CF-44E3-9099-C40C66FF867C}">
                  <a14:compatExt spid="_x0000_s26729"/>
                </a:ext>
                <a:ext uri="{FF2B5EF4-FFF2-40B4-BE49-F238E27FC236}">
                  <a16:creationId xmlns:a16="http://schemas.microsoft.com/office/drawing/2014/main" id="{00000000-0008-0000-0600-00006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6730" name="Button 106" hidden="1">
              <a:extLst>
                <a:ext uri="{63B3BB69-23CF-44E3-9099-C40C66FF867C}">
                  <a14:compatExt spid="_x0000_s26730"/>
                </a:ext>
                <a:ext uri="{FF2B5EF4-FFF2-40B4-BE49-F238E27FC236}">
                  <a16:creationId xmlns:a16="http://schemas.microsoft.com/office/drawing/2014/main" id="{00000000-0008-0000-0600-00006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6731" name="Button 107" hidden="1">
              <a:extLst>
                <a:ext uri="{63B3BB69-23CF-44E3-9099-C40C66FF867C}">
                  <a14:compatExt spid="_x0000_s26731"/>
                </a:ext>
                <a:ext uri="{FF2B5EF4-FFF2-40B4-BE49-F238E27FC236}">
                  <a16:creationId xmlns:a16="http://schemas.microsoft.com/office/drawing/2014/main" id="{00000000-0008-0000-0600-00006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6732" name="Button 108" hidden="1">
              <a:extLst>
                <a:ext uri="{63B3BB69-23CF-44E3-9099-C40C66FF867C}">
                  <a14:compatExt spid="_x0000_s26732"/>
                </a:ext>
                <a:ext uri="{FF2B5EF4-FFF2-40B4-BE49-F238E27FC236}">
                  <a16:creationId xmlns:a16="http://schemas.microsoft.com/office/drawing/2014/main" id="{00000000-0008-0000-0600-00006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6733" name="Button 109" hidden="1">
              <a:extLst>
                <a:ext uri="{63B3BB69-23CF-44E3-9099-C40C66FF867C}">
                  <a14:compatExt spid="_x0000_s26733"/>
                </a:ext>
                <a:ext uri="{FF2B5EF4-FFF2-40B4-BE49-F238E27FC236}">
                  <a16:creationId xmlns:a16="http://schemas.microsoft.com/office/drawing/2014/main" id="{00000000-0008-0000-0600-00006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6734" name="Button 110" hidden="1">
              <a:extLst>
                <a:ext uri="{63B3BB69-23CF-44E3-9099-C40C66FF867C}">
                  <a14:compatExt spid="_x0000_s26734"/>
                </a:ext>
                <a:ext uri="{FF2B5EF4-FFF2-40B4-BE49-F238E27FC236}">
                  <a16:creationId xmlns:a16="http://schemas.microsoft.com/office/drawing/2014/main" id="{00000000-0008-0000-0600-00006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6735" name="Button 111" hidden="1">
              <a:extLst>
                <a:ext uri="{63B3BB69-23CF-44E3-9099-C40C66FF867C}">
                  <a14:compatExt spid="_x0000_s26735"/>
                </a:ext>
                <a:ext uri="{FF2B5EF4-FFF2-40B4-BE49-F238E27FC236}">
                  <a16:creationId xmlns:a16="http://schemas.microsoft.com/office/drawing/2014/main" id="{00000000-0008-0000-0600-00006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6736" name="Button 112" hidden="1">
              <a:extLst>
                <a:ext uri="{63B3BB69-23CF-44E3-9099-C40C66FF867C}">
                  <a14:compatExt spid="_x0000_s26736"/>
                </a:ext>
                <a:ext uri="{FF2B5EF4-FFF2-40B4-BE49-F238E27FC236}">
                  <a16:creationId xmlns:a16="http://schemas.microsoft.com/office/drawing/2014/main" id="{00000000-0008-0000-0600-00007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6737" name="Button 113" hidden="1">
              <a:extLst>
                <a:ext uri="{63B3BB69-23CF-44E3-9099-C40C66FF867C}">
                  <a14:compatExt spid="_x0000_s26737"/>
                </a:ext>
                <a:ext uri="{FF2B5EF4-FFF2-40B4-BE49-F238E27FC236}">
                  <a16:creationId xmlns:a16="http://schemas.microsoft.com/office/drawing/2014/main" id="{00000000-0008-0000-0600-00007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6738" name="Button 114" hidden="1">
              <a:extLst>
                <a:ext uri="{63B3BB69-23CF-44E3-9099-C40C66FF867C}">
                  <a14:compatExt spid="_x0000_s26738"/>
                </a:ext>
                <a:ext uri="{FF2B5EF4-FFF2-40B4-BE49-F238E27FC236}">
                  <a16:creationId xmlns:a16="http://schemas.microsoft.com/office/drawing/2014/main" id="{00000000-0008-0000-0600-00007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6739" name="Button 115" hidden="1">
              <a:extLst>
                <a:ext uri="{63B3BB69-23CF-44E3-9099-C40C66FF867C}">
                  <a14:compatExt spid="_x0000_s26739"/>
                </a:ext>
                <a:ext uri="{FF2B5EF4-FFF2-40B4-BE49-F238E27FC236}">
                  <a16:creationId xmlns:a16="http://schemas.microsoft.com/office/drawing/2014/main" id="{00000000-0008-0000-0600-00007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6740" name="Button 116" hidden="1">
              <a:extLst>
                <a:ext uri="{63B3BB69-23CF-44E3-9099-C40C66FF867C}">
                  <a14:compatExt spid="_x0000_s26740"/>
                </a:ext>
                <a:ext uri="{FF2B5EF4-FFF2-40B4-BE49-F238E27FC236}">
                  <a16:creationId xmlns:a16="http://schemas.microsoft.com/office/drawing/2014/main" id="{00000000-0008-0000-0600-00007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6741" name="Button 117" hidden="1">
              <a:extLst>
                <a:ext uri="{63B3BB69-23CF-44E3-9099-C40C66FF867C}">
                  <a14:compatExt spid="_x0000_s26741"/>
                </a:ext>
                <a:ext uri="{FF2B5EF4-FFF2-40B4-BE49-F238E27FC236}">
                  <a16:creationId xmlns:a16="http://schemas.microsoft.com/office/drawing/2014/main" id="{00000000-0008-0000-0600-00007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6742" name="Button 118" hidden="1">
              <a:extLst>
                <a:ext uri="{63B3BB69-23CF-44E3-9099-C40C66FF867C}">
                  <a14:compatExt spid="_x0000_s26742"/>
                </a:ext>
                <a:ext uri="{FF2B5EF4-FFF2-40B4-BE49-F238E27FC236}">
                  <a16:creationId xmlns:a16="http://schemas.microsoft.com/office/drawing/2014/main" id="{00000000-0008-0000-0600-00007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6743" name="Button 119" hidden="1">
              <a:extLst>
                <a:ext uri="{63B3BB69-23CF-44E3-9099-C40C66FF867C}">
                  <a14:compatExt spid="_x0000_s26743"/>
                </a:ext>
                <a:ext uri="{FF2B5EF4-FFF2-40B4-BE49-F238E27FC236}">
                  <a16:creationId xmlns:a16="http://schemas.microsoft.com/office/drawing/2014/main" id="{00000000-0008-0000-0600-00007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6744" name="Button 120" hidden="1">
              <a:extLst>
                <a:ext uri="{63B3BB69-23CF-44E3-9099-C40C66FF867C}">
                  <a14:compatExt spid="_x0000_s26744"/>
                </a:ext>
                <a:ext uri="{FF2B5EF4-FFF2-40B4-BE49-F238E27FC236}">
                  <a16:creationId xmlns:a16="http://schemas.microsoft.com/office/drawing/2014/main" id="{00000000-0008-0000-0600-00007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6745" name="Button 121" hidden="1">
              <a:extLst>
                <a:ext uri="{63B3BB69-23CF-44E3-9099-C40C66FF867C}">
                  <a14:compatExt spid="_x0000_s26745"/>
                </a:ext>
                <a:ext uri="{FF2B5EF4-FFF2-40B4-BE49-F238E27FC236}">
                  <a16:creationId xmlns:a16="http://schemas.microsoft.com/office/drawing/2014/main" id="{00000000-0008-0000-0600-00007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6746" name="Button 122" hidden="1">
              <a:extLst>
                <a:ext uri="{63B3BB69-23CF-44E3-9099-C40C66FF867C}">
                  <a14:compatExt spid="_x0000_s26746"/>
                </a:ext>
                <a:ext uri="{FF2B5EF4-FFF2-40B4-BE49-F238E27FC236}">
                  <a16:creationId xmlns:a16="http://schemas.microsoft.com/office/drawing/2014/main" id="{00000000-0008-0000-0600-00007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6747" name="Button 123" hidden="1">
              <a:extLst>
                <a:ext uri="{63B3BB69-23CF-44E3-9099-C40C66FF867C}">
                  <a14:compatExt spid="_x0000_s26747"/>
                </a:ext>
                <a:ext uri="{FF2B5EF4-FFF2-40B4-BE49-F238E27FC236}">
                  <a16:creationId xmlns:a16="http://schemas.microsoft.com/office/drawing/2014/main" id="{00000000-0008-0000-0600-00007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6748" name="Button 124" hidden="1">
              <a:extLst>
                <a:ext uri="{63B3BB69-23CF-44E3-9099-C40C66FF867C}">
                  <a14:compatExt spid="_x0000_s26748"/>
                </a:ext>
                <a:ext uri="{FF2B5EF4-FFF2-40B4-BE49-F238E27FC236}">
                  <a16:creationId xmlns:a16="http://schemas.microsoft.com/office/drawing/2014/main" id="{00000000-0008-0000-0600-00007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6749" name="Button 125" hidden="1">
              <a:extLst>
                <a:ext uri="{63B3BB69-23CF-44E3-9099-C40C66FF867C}">
                  <a14:compatExt spid="_x0000_s26749"/>
                </a:ext>
                <a:ext uri="{FF2B5EF4-FFF2-40B4-BE49-F238E27FC236}">
                  <a16:creationId xmlns:a16="http://schemas.microsoft.com/office/drawing/2014/main" id="{00000000-0008-0000-0600-00007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6750" name="Button 126" hidden="1">
              <a:extLst>
                <a:ext uri="{63B3BB69-23CF-44E3-9099-C40C66FF867C}">
                  <a14:compatExt spid="_x0000_s26750"/>
                </a:ext>
                <a:ext uri="{FF2B5EF4-FFF2-40B4-BE49-F238E27FC236}">
                  <a16:creationId xmlns:a16="http://schemas.microsoft.com/office/drawing/2014/main" id="{00000000-0008-0000-0600-00007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6751" name="Button 127" hidden="1">
              <a:extLst>
                <a:ext uri="{63B3BB69-23CF-44E3-9099-C40C66FF867C}">
                  <a14:compatExt spid="_x0000_s26751"/>
                </a:ext>
                <a:ext uri="{FF2B5EF4-FFF2-40B4-BE49-F238E27FC236}">
                  <a16:creationId xmlns:a16="http://schemas.microsoft.com/office/drawing/2014/main" id="{00000000-0008-0000-0600-00007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6752" name="Button 128" hidden="1">
              <a:extLst>
                <a:ext uri="{63B3BB69-23CF-44E3-9099-C40C66FF867C}">
                  <a14:compatExt spid="_x0000_s26752"/>
                </a:ext>
                <a:ext uri="{FF2B5EF4-FFF2-40B4-BE49-F238E27FC236}">
                  <a16:creationId xmlns:a16="http://schemas.microsoft.com/office/drawing/2014/main" id="{00000000-0008-0000-0600-00008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6753" name="Button 129" hidden="1">
              <a:extLst>
                <a:ext uri="{63B3BB69-23CF-44E3-9099-C40C66FF867C}">
                  <a14:compatExt spid="_x0000_s26753"/>
                </a:ext>
                <a:ext uri="{FF2B5EF4-FFF2-40B4-BE49-F238E27FC236}">
                  <a16:creationId xmlns:a16="http://schemas.microsoft.com/office/drawing/2014/main" id="{00000000-0008-0000-0600-00008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6754" name="Button 130" hidden="1">
              <a:extLst>
                <a:ext uri="{63B3BB69-23CF-44E3-9099-C40C66FF867C}">
                  <a14:compatExt spid="_x0000_s26754"/>
                </a:ext>
                <a:ext uri="{FF2B5EF4-FFF2-40B4-BE49-F238E27FC236}">
                  <a16:creationId xmlns:a16="http://schemas.microsoft.com/office/drawing/2014/main" id="{00000000-0008-0000-0600-00008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6755" name="Button 131" hidden="1">
              <a:extLst>
                <a:ext uri="{63B3BB69-23CF-44E3-9099-C40C66FF867C}">
                  <a14:compatExt spid="_x0000_s26755"/>
                </a:ext>
                <a:ext uri="{FF2B5EF4-FFF2-40B4-BE49-F238E27FC236}">
                  <a16:creationId xmlns:a16="http://schemas.microsoft.com/office/drawing/2014/main" id="{00000000-0008-0000-0600-00008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6756" name="Button 132" hidden="1">
              <a:extLst>
                <a:ext uri="{63B3BB69-23CF-44E3-9099-C40C66FF867C}">
                  <a14:compatExt spid="_x0000_s26756"/>
                </a:ext>
                <a:ext uri="{FF2B5EF4-FFF2-40B4-BE49-F238E27FC236}">
                  <a16:creationId xmlns:a16="http://schemas.microsoft.com/office/drawing/2014/main" id="{00000000-0008-0000-0600-00008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6757" name="Button 133" hidden="1">
              <a:extLst>
                <a:ext uri="{63B3BB69-23CF-44E3-9099-C40C66FF867C}">
                  <a14:compatExt spid="_x0000_s26757"/>
                </a:ext>
                <a:ext uri="{FF2B5EF4-FFF2-40B4-BE49-F238E27FC236}">
                  <a16:creationId xmlns:a16="http://schemas.microsoft.com/office/drawing/2014/main" id="{00000000-0008-0000-0600-00008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6758" name="Button 134" hidden="1">
              <a:extLst>
                <a:ext uri="{63B3BB69-23CF-44E3-9099-C40C66FF867C}">
                  <a14:compatExt spid="_x0000_s26758"/>
                </a:ext>
                <a:ext uri="{FF2B5EF4-FFF2-40B4-BE49-F238E27FC236}">
                  <a16:creationId xmlns:a16="http://schemas.microsoft.com/office/drawing/2014/main" id="{00000000-0008-0000-0600-00008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6759" name="Button 135" hidden="1">
              <a:extLst>
                <a:ext uri="{63B3BB69-23CF-44E3-9099-C40C66FF867C}">
                  <a14:compatExt spid="_x0000_s26759"/>
                </a:ext>
                <a:ext uri="{FF2B5EF4-FFF2-40B4-BE49-F238E27FC236}">
                  <a16:creationId xmlns:a16="http://schemas.microsoft.com/office/drawing/2014/main" id="{00000000-0008-0000-0600-00008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6760" name="Button 136" hidden="1">
              <a:extLst>
                <a:ext uri="{63B3BB69-23CF-44E3-9099-C40C66FF867C}">
                  <a14:compatExt spid="_x0000_s26760"/>
                </a:ext>
                <a:ext uri="{FF2B5EF4-FFF2-40B4-BE49-F238E27FC236}">
                  <a16:creationId xmlns:a16="http://schemas.microsoft.com/office/drawing/2014/main" id="{00000000-0008-0000-0600-00008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6761" name="Button 137" hidden="1">
              <a:extLst>
                <a:ext uri="{63B3BB69-23CF-44E3-9099-C40C66FF867C}">
                  <a14:compatExt spid="_x0000_s26761"/>
                </a:ext>
                <a:ext uri="{FF2B5EF4-FFF2-40B4-BE49-F238E27FC236}">
                  <a16:creationId xmlns:a16="http://schemas.microsoft.com/office/drawing/2014/main" id="{00000000-0008-0000-0600-00008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6762" name="Button 138" hidden="1">
              <a:extLst>
                <a:ext uri="{63B3BB69-23CF-44E3-9099-C40C66FF867C}">
                  <a14:compatExt spid="_x0000_s26762"/>
                </a:ext>
                <a:ext uri="{FF2B5EF4-FFF2-40B4-BE49-F238E27FC236}">
                  <a16:creationId xmlns:a16="http://schemas.microsoft.com/office/drawing/2014/main" id="{00000000-0008-0000-0600-00008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6763" name="Button 139" hidden="1">
              <a:extLst>
                <a:ext uri="{63B3BB69-23CF-44E3-9099-C40C66FF867C}">
                  <a14:compatExt spid="_x0000_s26763"/>
                </a:ext>
                <a:ext uri="{FF2B5EF4-FFF2-40B4-BE49-F238E27FC236}">
                  <a16:creationId xmlns:a16="http://schemas.microsoft.com/office/drawing/2014/main" id="{00000000-0008-0000-0600-00008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6764" name="Button 140" hidden="1">
              <a:extLst>
                <a:ext uri="{63B3BB69-23CF-44E3-9099-C40C66FF867C}">
                  <a14:compatExt spid="_x0000_s26764"/>
                </a:ext>
                <a:ext uri="{FF2B5EF4-FFF2-40B4-BE49-F238E27FC236}">
                  <a16:creationId xmlns:a16="http://schemas.microsoft.com/office/drawing/2014/main" id="{00000000-0008-0000-0600-00008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7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7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7652" name="Button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7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7653" name="Button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7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7654" name="Button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7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7655" name="Button 7" hidden="1">
              <a:extLst>
                <a:ext uri="{63B3BB69-23CF-44E3-9099-C40C66FF867C}">
                  <a14:compatExt spid="_x0000_s27655"/>
                </a:ext>
                <a:ext uri="{FF2B5EF4-FFF2-40B4-BE49-F238E27FC236}">
                  <a16:creationId xmlns:a16="http://schemas.microsoft.com/office/drawing/2014/main" id="{00000000-0008-0000-0700-00000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7656" name="Button 8" hidden="1">
              <a:extLst>
                <a:ext uri="{63B3BB69-23CF-44E3-9099-C40C66FF867C}">
                  <a14:compatExt spid="_x0000_s27656"/>
                </a:ext>
                <a:ext uri="{FF2B5EF4-FFF2-40B4-BE49-F238E27FC236}">
                  <a16:creationId xmlns:a16="http://schemas.microsoft.com/office/drawing/2014/main" id="{00000000-0008-0000-0700-00000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7657" name="Button 9" hidden="1">
              <a:extLst>
                <a:ext uri="{63B3BB69-23CF-44E3-9099-C40C66FF867C}">
                  <a14:compatExt spid="_x0000_s27657"/>
                </a:ext>
                <a:ext uri="{FF2B5EF4-FFF2-40B4-BE49-F238E27FC236}">
                  <a16:creationId xmlns:a16="http://schemas.microsoft.com/office/drawing/2014/main" id="{00000000-0008-0000-0700-00000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7658" name="Button 10" hidden="1">
              <a:extLst>
                <a:ext uri="{63B3BB69-23CF-44E3-9099-C40C66FF867C}">
                  <a14:compatExt spid="_x0000_s27658"/>
                </a:ext>
                <a:ext uri="{FF2B5EF4-FFF2-40B4-BE49-F238E27FC236}">
                  <a16:creationId xmlns:a16="http://schemas.microsoft.com/office/drawing/2014/main" id="{00000000-0008-0000-0700-00000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7659" name="Button 11" hidden="1">
              <a:extLst>
                <a:ext uri="{63B3BB69-23CF-44E3-9099-C40C66FF867C}">
                  <a14:compatExt spid="_x0000_s27659"/>
                </a:ext>
                <a:ext uri="{FF2B5EF4-FFF2-40B4-BE49-F238E27FC236}">
                  <a16:creationId xmlns:a16="http://schemas.microsoft.com/office/drawing/2014/main" id="{00000000-0008-0000-0700-00000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7660" name="Button 12" hidden="1">
              <a:extLst>
                <a:ext uri="{63B3BB69-23CF-44E3-9099-C40C66FF867C}">
                  <a14:compatExt spid="_x0000_s27660"/>
                </a:ext>
                <a:ext uri="{FF2B5EF4-FFF2-40B4-BE49-F238E27FC236}">
                  <a16:creationId xmlns:a16="http://schemas.microsoft.com/office/drawing/2014/main" id="{00000000-0008-0000-0700-00000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7661" name="Button 13" hidden="1">
              <a:extLst>
                <a:ext uri="{63B3BB69-23CF-44E3-9099-C40C66FF867C}">
                  <a14:compatExt spid="_x0000_s27661"/>
                </a:ext>
                <a:ext uri="{FF2B5EF4-FFF2-40B4-BE49-F238E27FC236}">
                  <a16:creationId xmlns:a16="http://schemas.microsoft.com/office/drawing/2014/main" id="{00000000-0008-0000-0700-00000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7662" name="Button 14" hidden="1">
              <a:extLst>
                <a:ext uri="{63B3BB69-23CF-44E3-9099-C40C66FF867C}">
                  <a14:compatExt spid="_x0000_s27662"/>
                </a:ext>
                <a:ext uri="{FF2B5EF4-FFF2-40B4-BE49-F238E27FC236}">
                  <a16:creationId xmlns:a16="http://schemas.microsoft.com/office/drawing/2014/main" id="{00000000-0008-0000-0700-00000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7663" name="Button 15" hidden="1">
              <a:extLst>
                <a:ext uri="{63B3BB69-23CF-44E3-9099-C40C66FF867C}">
                  <a14:compatExt spid="_x0000_s27663"/>
                </a:ext>
                <a:ext uri="{FF2B5EF4-FFF2-40B4-BE49-F238E27FC236}">
                  <a16:creationId xmlns:a16="http://schemas.microsoft.com/office/drawing/2014/main" id="{00000000-0008-0000-0700-00000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7664" name="Button 16" hidden="1">
              <a:extLst>
                <a:ext uri="{63B3BB69-23CF-44E3-9099-C40C66FF867C}">
                  <a14:compatExt spid="_x0000_s27664"/>
                </a:ext>
                <a:ext uri="{FF2B5EF4-FFF2-40B4-BE49-F238E27FC236}">
                  <a16:creationId xmlns:a16="http://schemas.microsoft.com/office/drawing/2014/main" id="{00000000-0008-0000-0700-00001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7665" name="Button 17" hidden="1">
              <a:extLst>
                <a:ext uri="{63B3BB69-23CF-44E3-9099-C40C66FF867C}">
                  <a14:compatExt spid="_x0000_s27665"/>
                </a:ext>
                <a:ext uri="{FF2B5EF4-FFF2-40B4-BE49-F238E27FC236}">
                  <a16:creationId xmlns:a16="http://schemas.microsoft.com/office/drawing/2014/main" id="{00000000-0008-0000-0700-00001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7666" name="Button 18" hidden="1">
              <a:extLst>
                <a:ext uri="{63B3BB69-23CF-44E3-9099-C40C66FF867C}">
                  <a14:compatExt spid="_x0000_s27666"/>
                </a:ext>
                <a:ext uri="{FF2B5EF4-FFF2-40B4-BE49-F238E27FC236}">
                  <a16:creationId xmlns:a16="http://schemas.microsoft.com/office/drawing/2014/main" id="{00000000-0008-0000-0700-00001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7667" name="Button 19" hidden="1">
              <a:extLst>
                <a:ext uri="{63B3BB69-23CF-44E3-9099-C40C66FF867C}">
                  <a14:compatExt spid="_x0000_s27667"/>
                </a:ext>
                <a:ext uri="{FF2B5EF4-FFF2-40B4-BE49-F238E27FC236}">
                  <a16:creationId xmlns:a16="http://schemas.microsoft.com/office/drawing/2014/main" id="{00000000-0008-0000-0700-00001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7668" name="Button 20" hidden="1">
              <a:extLst>
                <a:ext uri="{63B3BB69-23CF-44E3-9099-C40C66FF867C}">
                  <a14:compatExt spid="_x0000_s27668"/>
                </a:ext>
                <a:ext uri="{FF2B5EF4-FFF2-40B4-BE49-F238E27FC236}">
                  <a16:creationId xmlns:a16="http://schemas.microsoft.com/office/drawing/2014/main" id="{00000000-0008-0000-0700-00001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7669" name="Button 21" hidden="1">
              <a:extLst>
                <a:ext uri="{63B3BB69-23CF-44E3-9099-C40C66FF867C}">
                  <a14:compatExt spid="_x0000_s27669"/>
                </a:ext>
                <a:ext uri="{FF2B5EF4-FFF2-40B4-BE49-F238E27FC236}">
                  <a16:creationId xmlns:a16="http://schemas.microsoft.com/office/drawing/2014/main" id="{00000000-0008-0000-0700-00001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7670" name="Button 22" hidden="1">
              <a:extLst>
                <a:ext uri="{63B3BB69-23CF-44E3-9099-C40C66FF867C}">
                  <a14:compatExt spid="_x0000_s27670"/>
                </a:ext>
                <a:ext uri="{FF2B5EF4-FFF2-40B4-BE49-F238E27FC236}">
                  <a16:creationId xmlns:a16="http://schemas.microsoft.com/office/drawing/2014/main" id="{00000000-0008-0000-0700-00001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7671" name="Button 23" hidden="1">
              <a:extLst>
                <a:ext uri="{63B3BB69-23CF-44E3-9099-C40C66FF867C}">
                  <a14:compatExt spid="_x0000_s27671"/>
                </a:ext>
                <a:ext uri="{FF2B5EF4-FFF2-40B4-BE49-F238E27FC236}">
                  <a16:creationId xmlns:a16="http://schemas.microsoft.com/office/drawing/2014/main" id="{00000000-0008-0000-0700-00001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7672" name="Button 24" hidden="1">
              <a:extLst>
                <a:ext uri="{63B3BB69-23CF-44E3-9099-C40C66FF867C}">
                  <a14:compatExt spid="_x0000_s27672"/>
                </a:ext>
                <a:ext uri="{FF2B5EF4-FFF2-40B4-BE49-F238E27FC236}">
                  <a16:creationId xmlns:a16="http://schemas.microsoft.com/office/drawing/2014/main" id="{00000000-0008-0000-0700-00001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7673" name="Button 25" hidden="1">
              <a:extLst>
                <a:ext uri="{63B3BB69-23CF-44E3-9099-C40C66FF867C}">
                  <a14:compatExt spid="_x0000_s27673"/>
                </a:ext>
                <a:ext uri="{FF2B5EF4-FFF2-40B4-BE49-F238E27FC236}">
                  <a16:creationId xmlns:a16="http://schemas.microsoft.com/office/drawing/2014/main" id="{00000000-0008-0000-0700-00001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7674" name="Button 26" hidden="1">
              <a:extLst>
                <a:ext uri="{63B3BB69-23CF-44E3-9099-C40C66FF867C}">
                  <a14:compatExt spid="_x0000_s27674"/>
                </a:ext>
                <a:ext uri="{FF2B5EF4-FFF2-40B4-BE49-F238E27FC236}">
                  <a16:creationId xmlns:a16="http://schemas.microsoft.com/office/drawing/2014/main" id="{00000000-0008-0000-0700-00001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7675" name="Button 27" hidden="1">
              <a:extLst>
                <a:ext uri="{63B3BB69-23CF-44E3-9099-C40C66FF867C}">
                  <a14:compatExt spid="_x0000_s27675"/>
                </a:ext>
                <a:ext uri="{FF2B5EF4-FFF2-40B4-BE49-F238E27FC236}">
                  <a16:creationId xmlns:a16="http://schemas.microsoft.com/office/drawing/2014/main" id="{00000000-0008-0000-0700-00001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7676" name="Button 28" hidden="1">
              <a:extLst>
                <a:ext uri="{63B3BB69-23CF-44E3-9099-C40C66FF867C}">
                  <a14:compatExt spid="_x0000_s27676"/>
                </a:ext>
                <a:ext uri="{FF2B5EF4-FFF2-40B4-BE49-F238E27FC236}">
                  <a16:creationId xmlns:a16="http://schemas.microsoft.com/office/drawing/2014/main" id="{00000000-0008-0000-0700-00001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7677" name="Button 29" hidden="1">
              <a:extLst>
                <a:ext uri="{63B3BB69-23CF-44E3-9099-C40C66FF867C}">
                  <a14:compatExt spid="_x0000_s27677"/>
                </a:ext>
                <a:ext uri="{FF2B5EF4-FFF2-40B4-BE49-F238E27FC236}">
                  <a16:creationId xmlns:a16="http://schemas.microsoft.com/office/drawing/2014/main" id="{00000000-0008-0000-0700-00001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7678" name="Button 30" hidden="1">
              <a:extLst>
                <a:ext uri="{63B3BB69-23CF-44E3-9099-C40C66FF867C}">
                  <a14:compatExt spid="_x0000_s27678"/>
                </a:ext>
                <a:ext uri="{FF2B5EF4-FFF2-40B4-BE49-F238E27FC236}">
                  <a16:creationId xmlns:a16="http://schemas.microsoft.com/office/drawing/2014/main" id="{00000000-0008-0000-0700-00001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7679" name="Button 31" hidden="1">
              <a:extLst>
                <a:ext uri="{63B3BB69-23CF-44E3-9099-C40C66FF867C}">
                  <a14:compatExt spid="_x0000_s27679"/>
                </a:ext>
                <a:ext uri="{FF2B5EF4-FFF2-40B4-BE49-F238E27FC236}">
                  <a16:creationId xmlns:a16="http://schemas.microsoft.com/office/drawing/2014/main" id="{00000000-0008-0000-0700-00001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7680" name="Button 32" hidden="1">
              <a:extLst>
                <a:ext uri="{63B3BB69-23CF-44E3-9099-C40C66FF867C}">
                  <a14:compatExt spid="_x0000_s27680"/>
                </a:ext>
                <a:ext uri="{FF2B5EF4-FFF2-40B4-BE49-F238E27FC236}">
                  <a16:creationId xmlns:a16="http://schemas.microsoft.com/office/drawing/2014/main" id="{00000000-0008-0000-0700-00002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7681" name="Button 33" hidden="1">
              <a:extLst>
                <a:ext uri="{63B3BB69-23CF-44E3-9099-C40C66FF867C}">
                  <a14:compatExt spid="_x0000_s27681"/>
                </a:ext>
                <a:ext uri="{FF2B5EF4-FFF2-40B4-BE49-F238E27FC236}">
                  <a16:creationId xmlns:a16="http://schemas.microsoft.com/office/drawing/2014/main" id="{00000000-0008-0000-0700-00002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7682" name="Button 34" hidden="1">
              <a:extLst>
                <a:ext uri="{63B3BB69-23CF-44E3-9099-C40C66FF867C}">
                  <a14:compatExt spid="_x0000_s27682"/>
                </a:ext>
                <a:ext uri="{FF2B5EF4-FFF2-40B4-BE49-F238E27FC236}">
                  <a16:creationId xmlns:a16="http://schemas.microsoft.com/office/drawing/2014/main" id="{00000000-0008-0000-0700-00002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7683" name="Button 35" hidden="1">
              <a:extLst>
                <a:ext uri="{63B3BB69-23CF-44E3-9099-C40C66FF867C}">
                  <a14:compatExt spid="_x0000_s27683"/>
                </a:ext>
                <a:ext uri="{FF2B5EF4-FFF2-40B4-BE49-F238E27FC236}">
                  <a16:creationId xmlns:a16="http://schemas.microsoft.com/office/drawing/2014/main" id="{00000000-0008-0000-0700-00002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7684" name="Button 36" hidden="1">
              <a:extLst>
                <a:ext uri="{63B3BB69-23CF-44E3-9099-C40C66FF867C}">
                  <a14:compatExt spid="_x0000_s27684"/>
                </a:ext>
                <a:ext uri="{FF2B5EF4-FFF2-40B4-BE49-F238E27FC236}">
                  <a16:creationId xmlns:a16="http://schemas.microsoft.com/office/drawing/2014/main" id="{00000000-0008-0000-0700-00002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7685" name="Button 37" hidden="1">
              <a:extLst>
                <a:ext uri="{63B3BB69-23CF-44E3-9099-C40C66FF867C}">
                  <a14:compatExt spid="_x0000_s27685"/>
                </a:ext>
                <a:ext uri="{FF2B5EF4-FFF2-40B4-BE49-F238E27FC236}">
                  <a16:creationId xmlns:a16="http://schemas.microsoft.com/office/drawing/2014/main" id="{00000000-0008-0000-0700-00002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7686" name="Button 38" hidden="1">
              <a:extLst>
                <a:ext uri="{63B3BB69-23CF-44E3-9099-C40C66FF867C}">
                  <a14:compatExt spid="_x0000_s27686"/>
                </a:ext>
                <a:ext uri="{FF2B5EF4-FFF2-40B4-BE49-F238E27FC236}">
                  <a16:creationId xmlns:a16="http://schemas.microsoft.com/office/drawing/2014/main" id="{00000000-0008-0000-0700-00002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7687" name="Button 39" hidden="1">
              <a:extLst>
                <a:ext uri="{63B3BB69-23CF-44E3-9099-C40C66FF867C}">
                  <a14:compatExt spid="_x0000_s27687"/>
                </a:ext>
                <a:ext uri="{FF2B5EF4-FFF2-40B4-BE49-F238E27FC236}">
                  <a16:creationId xmlns:a16="http://schemas.microsoft.com/office/drawing/2014/main" id="{00000000-0008-0000-0700-00002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7688" name="Button 40" hidden="1">
              <a:extLst>
                <a:ext uri="{63B3BB69-23CF-44E3-9099-C40C66FF867C}">
                  <a14:compatExt spid="_x0000_s27688"/>
                </a:ext>
                <a:ext uri="{FF2B5EF4-FFF2-40B4-BE49-F238E27FC236}">
                  <a16:creationId xmlns:a16="http://schemas.microsoft.com/office/drawing/2014/main" id="{00000000-0008-0000-0700-00002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7689" name="Button 41" hidden="1">
              <a:extLst>
                <a:ext uri="{63B3BB69-23CF-44E3-9099-C40C66FF867C}">
                  <a14:compatExt spid="_x0000_s27689"/>
                </a:ext>
                <a:ext uri="{FF2B5EF4-FFF2-40B4-BE49-F238E27FC236}">
                  <a16:creationId xmlns:a16="http://schemas.microsoft.com/office/drawing/2014/main" id="{00000000-0008-0000-0700-00002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7690" name="Button 42" hidden="1">
              <a:extLst>
                <a:ext uri="{63B3BB69-23CF-44E3-9099-C40C66FF867C}">
                  <a14:compatExt spid="_x0000_s27690"/>
                </a:ext>
                <a:ext uri="{FF2B5EF4-FFF2-40B4-BE49-F238E27FC236}">
                  <a16:creationId xmlns:a16="http://schemas.microsoft.com/office/drawing/2014/main" id="{00000000-0008-0000-0700-00002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7691" name="Button 43" hidden="1">
              <a:extLst>
                <a:ext uri="{63B3BB69-23CF-44E3-9099-C40C66FF867C}">
                  <a14:compatExt spid="_x0000_s27691"/>
                </a:ext>
                <a:ext uri="{FF2B5EF4-FFF2-40B4-BE49-F238E27FC236}">
                  <a16:creationId xmlns:a16="http://schemas.microsoft.com/office/drawing/2014/main" id="{00000000-0008-0000-0700-00002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7692" name="Button 44" hidden="1">
              <a:extLst>
                <a:ext uri="{63B3BB69-23CF-44E3-9099-C40C66FF867C}">
                  <a14:compatExt spid="_x0000_s27692"/>
                </a:ext>
                <a:ext uri="{FF2B5EF4-FFF2-40B4-BE49-F238E27FC236}">
                  <a16:creationId xmlns:a16="http://schemas.microsoft.com/office/drawing/2014/main" id="{00000000-0008-0000-0700-00002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7693" name="Button 45" hidden="1">
              <a:extLst>
                <a:ext uri="{63B3BB69-23CF-44E3-9099-C40C66FF867C}">
                  <a14:compatExt spid="_x0000_s27693"/>
                </a:ext>
                <a:ext uri="{FF2B5EF4-FFF2-40B4-BE49-F238E27FC236}">
                  <a16:creationId xmlns:a16="http://schemas.microsoft.com/office/drawing/2014/main" id="{00000000-0008-0000-0700-00002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7694" name="Button 46" hidden="1">
              <a:extLst>
                <a:ext uri="{63B3BB69-23CF-44E3-9099-C40C66FF867C}">
                  <a14:compatExt spid="_x0000_s27694"/>
                </a:ext>
                <a:ext uri="{FF2B5EF4-FFF2-40B4-BE49-F238E27FC236}">
                  <a16:creationId xmlns:a16="http://schemas.microsoft.com/office/drawing/2014/main" id="{00000000-0008-0000-0700-00002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7695" name="Button 47" hidden="1">
              <a:extLst>
                <a:ext uri="{63B3BB69-23CF-44E3-9099-C40C66FF867C}">
                  <a14:compatExt spid="_x0000_s27695"/>
                </a:ext>
                <a:ext uri="{FF2B5EF4-FFF2-40B4-BE49-F238E27FC236}">
                  <a16:creationId xmlns:a16="http://schemas.microsoft.com/office/drawing/2014/main" id="{00000000-0008-0000-0700-00002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7696" name="Button 48" hidden="1">
              <a:extLst>
                <a:ext uri="{63B3BB69-23CF-44E3-9099-C40C66FF867C}">
                  <a14:compatExt spid="_x0000_s27696"/>
                </a:ext>
                <a:ext uri="{FF2B5EF4-FFF2-40B4-BE49-F238E27FC236}">
                  <a16:creationId xmlns:a16="http://schemas.microsoft.com/office/drawing/2014/main" id="{00000000-0008-0000-0700-00003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7697" name="Button 49" hidden="1">
              <a:extLst>
                <a:ext uri="{63B3BB69-23CF-44E3-9099-C40C66FF867C}">
                  <a14:compatExt spid="_x0000_s27697"/>
                </a:ext>
                <a:ext uri="{FF2B5EF4-FFF2-40B4-BE49-F238E27FC236}">
                  <a16:creationId xmlns:a16="http://schemas.microsoft.com/office/drawing/2014/main" id="{00000000-0008-0000-0700-00003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7698" name="Button 50" hidden="1">
              <a:extLst>
                <a:ext uri="{63B3BB69-23CF-44E3-9099-C40C66FF867C}">
                  <a14:compatExt spid="_x0000_s27698"/>
                </a:ext>
                <a:ext uri="{FF2B5EF4-FFF2-40B4-BE49-F238E27FC236}">
                  <a16:creationId xmlns:a16="http://schemas.microsoft.com/office/drawing/2014/main" id="{00000000-0008-0000-0700-00003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7699" name="Button 51" hidden="1">
              <a:extLst>
                <a:ext uri="{63B3BB69-23CF-44E3-9099-C40C66FF867C}">
                  <a14:compatExt spid="_x0000_s27699"/>
                </a:ext>
                <a:ext uri="{FF2B5EF4-FFF2-40B4-BE49-F238E27FC236}">
                  <a16:creationId xmlns:a16="http://schemas.microsoft.com/office/drawing/2014/main" id="{00000000-0008-0000-0700-00003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7700" name="Button 52" hidden="1">
              <a:extLst>
                <a:ext uri="{63B3BB69-23CF-44E3-9099-C40C66FF867C}">
                  <a14:compatExt spid="_x0000_s27700"/>
                </a:ext>
                <a:ext uri="{FF2B5EF4-FFF2-40B4-BE49-F238E27FC236}">
                  <a16:creationId xmlns:a16="http://schemas.microsoft.com/office/drawing/2014/main" id="{00000000-0008-0000-0700-00003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7701" name="Button 53" hidden="1">
              <a:extLst>
                <a:ext uri="{63B3BB69-23CF-44E3-9099-C40C66FF867C}">
                  <a14:compatExt spid="_x0000_s27701"/>
                </a:ext>
                <a:ext uri="{FF2B5EF4-FFF2-40B4-BE49-F238E27FC236}">
                  <a16:creationId xmlns:a16="http://schemas.microsoft.com/office/drawing/2014/main" id="{00000000-0008-0000-0700-00003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7702" name="Button 54" hidden="1">
              <a:extLst>
                <a:ext uri="{63B3BB69-23CF-44E3-9099-C40C66FF867C}">
                  <a14:compatExt spid="_x0000_s27702"/>
                </a:ext>
                <a:ext uri="{FF2B5EF4-FFF2-40B4-BE49-F238E27FC236}">
                  <a16:creationId xmlns:a16="http://schemas.microsoft.com/office/drawing/2014/main" id="{00000000-0008-0000-0700-00003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7703" name="Button 55" hidden="1">
              <a:extLst>
                <a:ext uri="{63B3BB69-23CF-44E3-9099-C40C66FF867C}">
                  <a14:compatExt spid="_x0000_s27703"/>
                </a:ext>
                <a:ext uri="{FF2B5EF4-FFF2-40B4-BE49-F238E27FC236}">
                  <a16:creationId xmlns:a16="http://schemas.microsoft.com/office/drawing/2014/main" id="{00000000-0008-0000-0700-00003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7704" name="Button 56" hidden="1">
              <a:extLst>
                <a:ext uri="{63B3BB69-23CF-44E3-9099-C40C66FF867C}">
                  <a14:compatExt spid="_x0000_s27704"/>
                </a:ext>
                <a:ext uri="{FF2B5EF4-FFF2-40B4-BE49-F238E27FC236}">
                  <a16:creationId xmlns:a16="http://schemas.microsoft.com/office/drawing/2014/main" id="{00000000-0008-0000-0700-00003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7705" name="Button 57" hidden="1">
              <a:extLst>
                <a:ext uri="{63B3BB69-23CF-44E3-9099-C40C66FF867C}">
                  <a14:compatExt spid="_x0000_s27705"/>
                </a:ext>
                <a:ext uri="{FF2B5EF4-FFF2-40B4-BE49-F238E27FC236}">
                  <a16:creationId xmlns:a16="http://schemas.microsoft.com/office/drawing/2014/main" id="{00000000-0008-0000-0700-00003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7706" name="Button 58" hidden="1">
              <a:extLst>
                <a:ext uri="{63B3BB69-23CF-44E3-9099-C40C66FF867C}">
                  <a14:compatExt spid="_x0000_s27706"/>
                </a:ext>
                <a:ext uri="{FF2B5EF4-FFF2-40B4-BE49-F238E27FC236}">
                  <a16:creationId xmlns:a16="http://schemas.microsoft.com/office/drawing/2014/main" id="{00000000-0008-0000-0700-00003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7707" name="Button 59" hidden="1">
              <a:extLst>
                <a:ext uri="{63B3BB69-23CF-44E3-9099-C40C66FF867C}">
                  <a14:compatExt spid="_x0000_s27707"/>
                </a:ext>
                <a:ext uri="{FF2B5EF4-FFF2-40B4-BE49-F238E27FC236}">
                  <a16:creationId xmlns:a16="http://schemas.microsoft.com/office/drawing/2014/main" id="{00000000-0008-0000-0700-00003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7708" name="Button 60" hidden="1">
              <a:extLst>
                <a:ext uri="{63B3BB69-23CF-44E3-9099-C40C66FF867C}">
                  <a14:compatExt spid="_x0000_s27708"/>
                </a:ext>
                <a:ext uri="{FF2B5EF4-FFF2-40B4-BE49-F238E27FC236}">
                  <a16:creationId xmlns:a16="http://schemas.microsoft.com/office/drawing/2014/main" id="{00000000-0008-0000-0700-00003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7709" name="Button 61" hidden="1">
              <a:extLst>
                <a:ext uri="{63B3BB69-23CF-44E3-9099-C40C66FF867C}">
                  <a14:compatExt spid="_x0000_s27709"/>
                </a:ext>
                <a:ext uri="{FF2B5EF4-FFF2-40B4-BE49-F238E27FC236}">
                  <a16:creationId xmlns:a16="http://schemas.microsoft.com/office/drawing/2014/main" id="{00000000-0008-0000-0700-00003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7710" name="Button 62" hidden="1">
              <a:extLst>
                <a:ext uri="{63B3BB69-23CF-44E3-9099-C40C66FF867C}">
                  <a14:compatExt spid="_x0000_s27710"/>
                </a:ext>
                <a:ext uri="{FF2B5EF4-FFF2-40B4-BE49-F238E27FC236}">
                  <a16:creationId xmlns:a16="http://schemas.microsoft.com/office/drawing/2014/main" id="{00000000-0008-0000-0700-00003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7711" name="Button 63" hidden="1">
              <a:extLst>
                <a:ext uri="{63B3BB69-23CF-44E3-9099-C40C66FF867C}">
                  <a14:compatExt spid="_x0000_s27711"/>
                </a:ext>
                <a:ext uri="{FF2B5EF4-FFF2-40B4-BE49-F238E27FC236}">
                  <a16:creationId xmlns:a16="http://schemas.microsoft.com/office/drawing/2014/main" id="{00000000-0008-0000-0700-00003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7712" name="Button 64" hidden="1">
              <a:extLst>
                <a:ext uri="{63B3BB69-23CF-44E3-9099-C40C66FF867C}">
                  <a14:compatExt spid="_x0000_s27712"/>
                </a:ext>
                <a:ext uri="{FF2B5EF4-FFF2-40B4-BE49-F238E27FC236}">
                  <a16:creationId xmlns:a16="http://schemas.microsoft.com/office/drawing/2014/main" id="{00000000-0008-0000-0700-00004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7713" name="Button 65" hidden="1">
              <a:extLst>
                <a:ext uri="{63B3BB69-23CF-44E3-9099-C40C66FF867C}">
                  <a14:compatExt spid="_x0000_s27713"/>
                </a:ext>
                <a:ext uri="{FF2B5EF4-FFF2-40B4-BE49-F238E27FC236}">
                  <a16:creationId xmlns:a16="http://schemas.microsoft.com/office/drawing/2014/main" id="{00000000-0008-0000-0700-00004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7714" name="Button 66" hidden="1">
              <a:extLst>
                <a:ext uri="{63B3BB69-23CF-44E3-9099-C40C66FF867C}">
                  <a14:compatExt spid="_x0000_s27714"/>
                </a:ext>
                <a:ext uri="{FF2B5EF4-FFF2-40B4-BE49-F238E27FC236}">
                  <a16:creationId xmlns:a16="http://schemas.microsoft.com/office/drawing/2014/main" id="{00000000-0008-0000-0700-00004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7715" name="Button 67" hidden="1">
              <a:extLst>
                <a:ext uri="{63B3BB69-23CF-44E3-9099-C40C66FF867C}">
                  <a14:compatExt spid="_x0000_s27715"/>
                </a:ext>
                <a:ext uri="{FF2B5EF4-FFF2-40B4-BE49-F238E27FC236}">
                  <a16:creationId xmlns:a16="http://schemas.microsoft.com/office/drawing/2014/main" id="{00000000-0008-0000-0700-00004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7716" name="Button 68" hidden="1">
              <a:extLst>
                <a:ext uri="{63B3BB69-23CF-44E3-9099-C40C66FF867C}">
                  <a14:compatExt spid="_x0000_s27716"/>
                </a:ext>
                <a:ext uri="{FF2B5EF4-FFF2-40B4-BE49-F238E27FC236}">
                  <a16:creationId xmlns:a16="http://schemas.microsoft.com/office/drawing/2014/main" id="{00000000-0008-0000-0700-00004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7717" name="Button 69" hidden="1">
              <a:extLst>
                <a:ext uri="{63B3BB69-23CF-44E3-9099-C40C66FF867C}">
                  <a14:compatExt spid="_x0000_s27717"/>
                </a:ext>
                <a:ext uri="{FF2B5EF4-FFF2-40B4-BE49-F238E27FC236}">
                  <a16:creationId xmlns:a16="http://schemas.microsoft.com/office/drawing/2014/main" id="{00000000-0008-0000-0700-00004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7718" name="Button 70" hidden="1">
              <a:extLst>
                <a:ext uri="{63B3BB69-23CF-44E3-9099-C40C66FF867C}">
                  <a14:compatExt spid="_x0000_s27718"/>
                </a:ext>
                <a:ext uri="{FF2B5EF4-FFF2-40B4-BE49-F238E27FC236}">
                  <a16:creationId xmlns:a16="http://schemas.microsoft.com/office/drawing/2014/main" id="{00000000-0008-0000-0700-00004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7719" name="Button 71" hidden="1">
              <a:extLst>
                <a:ext uri="{63B3BB69-23CF-44E3-9099-C40C66FF867C}">
                  <a14:compatExt spid="_x0000_s27719"/>
                </a:ext>
                <a:ext uri="{FF2B5EF4-FFF2-40B4-BE49-F238E27FC236}">
                  <a16:creationId xmlns:a16="http://schemas.microsoft.com/office/drawing/2014/main" id="{00000000-0008-0000-0700-00004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7720" name="Button 72" hidden="1">
              <a:extLst>
                <a:ext uri="{63B3BB69-23CF-44E3-9099-C40C66FF867C}">
                  <a14:compatExt spid="_x0000_s27720"/>
                </a:ext>
                <a:ext uri="{FF2B5EF4-FFF2-40B4-BE49-F238E27FC236}">
                  <a16:creationId xmlns:a16="http://schemas.microsoft.com/office/drawing/2014/main" id="{00000000-0008-0000-0700-00004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7721" name="Button 73" hidden="1">
              <a:extLst>
                <a:ext uri="{63B3BB69-23CF-44E3-9099-C40C66FF867C}">
                  <a14:compatExt spid="_x0000_s27721"/>
                </a:ext>
                <a:ext uri="{FF2B5EF4-FFF2-40B4-BE49-F238E27FC236}">
                  <a16:creationId xmlns:a16="http://schemas.microsoft.com/office/drawing/2014/main" id="{00000000-0008-0000-0700-00004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7722" name="Button 74" hidden="1">
              <a:extLst>
                <a:ext uri="{63B3BB69-23CF-44E3-9099-C40C66FF867C}">
                  <a14:compatExt spid="_x0000_s27722"/>
                </a:ext>
                <a:ext uri="{FF2B5EF4-FFF2-40B4-BE49-F238E27FC236}">
                  <a16:creationId xmlns:a16="http://schemas.microsoft.com/office/drawing/2014/main" id="{00000000-0008-0000-0700-00004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7723" name="Button 75" hidden="1">
              <a:extLst>
                <a:ext uri="{63B3BB69-23CF-44E3-9099-C40C66FF867C}">
                  <a14:compatExt spid="_x0000_s27723"/>
                </a:ext>
                <a:ext uri="{FF2B5EF4-FFF2-40B4-BE49-F238E27FC236}">
                  <a16:creationId xmlns:a16="http://schemas.microsoft.com/office/drawing/2014/main" id="{00000000-0008-0000-0700-00004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7724" name="Button 76" hidden="1">
              <a:extLst>
                <a:ext uri="{63B3BB69-23CF-44E3-9099-C40C66FF867C}">
                  <a14:compatExt spid="_x0000_s27724"/>
                </a:ext>
                <a:ext uri="{FF2B5EF4-FFF2-40B4-BE49-F238E27FC236}">
                  <a16:creationId xmlns:a16="http://schemas.microsoft.com/office/drawing/2014/main" id="{00000000-0008-0000-0700-00004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7725" name="Button 77" hidden="1">
              <a:extLst>
                <a:ext uri="{63B3BB69-23CF-44E3-9099-C40C66FF867C}">
                  <a14:compatExt spid="_x0000_s27725"/>
                </a:ext>
                <a:ext uri="{FF2B5EF4-FFF2-40B4-BE49-F238E27FC236}">
                  <a16:creationId xmlns:a16="http://schemas.microsoft.com/office/drawing/2014/main" id="{00000000-0008-0000-0700-00004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7726" name="Button 78" hidden="1">
              <a:extLst>
                <a:ext uri="{63B3BB69-23CF-44E3-9099-C40C66FF867C}">
                  <a14:compatExt spid="_x0000_s27726"/>
                </a:ext>
                <a:ext uri="{FF2B5EF4-FFF2-40B4-BE49-F238E27FC236}">
                  <a16:creationId xmlns:a16="http://schemas.microsoft.com/office/drawing/2014/main" id="{00000000-0008-0000-0700-00004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7727" name="Button 79" hidden="1">
              <a:extLst>
                <a:ext uri="{63B3BB69-23CF-44E3-9099-C40C66FF867C}">
                  <a14:compatExt spid="_x0000_s27727"/>
                </a:ext>
                <a:ext uri="{FF2B5EF4-FFF2-40B4-BE49-F238E27FC236}">
                  <a16:creationId xmlns:a16="http://schemas.microsoft.com/office/drawing/2014/main" id="{00000000-0008-0000-0700-00004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7728" name="Button 80" hidden="1">
              <a:extLst>
                <a:ext uri="{63B3BB69-23CF-44E3-9099-C40C66FF867C}">
                  <a14:compatExt spid="_x0000_s27728"/>
                </a:ext>
                <a:ext uri="{FF2B5EF4-FFF2-40B4-BE49-F238E27FC236}">
                  <a16:creationId xmlns:a16="http://schemas.microsoft.com/office/drawing/2014/main" id="{00000000-0008-0000-0700-00005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7729" name="Button 81" hidden="1">
              <a:extLst>
                <a:ext uri="{63B3BB69-23CF-44E3-9099-C40C66FF867C}">
                  <a14:compatExt spid="_x0000_s27729"/>
                </a:ext>
                <a:ext uri="{FF2B5EF4-FFF2-40B4-BE49-F238E27FC236}">
                  <a16:creationId xmlns:a16="http://schemas.microsoft.com/office/drawing/2014/main" id="{00000000-0008-0000-0700-00005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7730" name="Button 82" hidden="1">
              <a:extLst>
                <a:ext uri="{63B3BB69-23CF-44E3-9099-C40C66FF867C}">
                  <a14:compatExt spid="_x0000_s27730"/>
                </a:ext>
                <a:ext uri="{FF2B5EF4-FFF2-40B4-BE49-F238E27FC236}">
                  <a16:creationId xmlns:a16="http://schemas.microsoft.com/office/drawing/2014/main" id="{00000000-0008-0000-0700-00005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7731" name="Button 83" hidden="1">
              <a:extLst>
                <a:ext uri="{63B3BB69-23CF-44E3-9099-C40C66FF867C}">
                  <a14:compatExt spid="_x0000_s27731"/>
                </a:ext>
                <a:ext uri="{FF2B5EF4-FFF2-40B4-BE49-F238E27FC236}">
                  <a16:creationId xmlns:a16="http://schemas.microsoft.com/office/drawing/2014/main" id="{00000000-0008-0000-0700-00005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7732" name="Button 84" hidden="1">
              <a:extLst>
                <a:ext uri="{63B3BB69-23CF-44E3-9099-C40C66FF867C}">
                  <a14:compatExt spid="_x0000_s27732"/>
                </a:ext>
                <a:ext uri="{FF2B5EF4-FFF2-40B4-BE49-F238E27FC236}">
                  <a16:creationId xmlns:a16="http://schemas.microsoft.com/office/drawing/2014/main" id="{00000000-0008-0000-0700-00005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7733" name="Button 85" hidden="1">
              <a:extLst>
                <a:ext uri="{63B3BB69-23CF-44E3-9099-C40C66FF867C}">
                  <a14:compatExt spid="_x0000_s27733"/>
                </a:ext>
                <a:ext uri="{FF2B5EF4-FFF2-40B4-BE49-F238E27FC236}">
                  <a16:creationId xmlns:a16="http://schemas.microsoft.com/office/drawing/2014/main" id="{00000000-0008-0000-0700-00005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7734" name="Button 86" hidden="1">
              <a:extLst>
                <a:ext uri="{63B3BB69-23CF-44E3-9099-C40C66FF867C}">
                  <a14:compatExt spid="_x0000_s27734"/>
                </a:ext>
                <a:ext uri="{FF2B5EF4-FFF2-40B4-BE49-F238E27FC236}">
                  <a16:creationId xmlns:a16="http://schemas.microsoft.com/office/drawing/2014/main" id="{00000000-0008-0000-0700-00005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7735" name="Button 87" hidden="1">
              <a:extLst>
                <a:ext uri="{63B3BB69-23CF-44E3-9099-C40C66FF867C}">
                  <a14:compatExt spid="_x0000_s27735"/>
                </a:ext>
                <a:ext uri="{FF2B5EF4-FFF2-40B4-BE49-F238E27FC236}">
                  <a16:creationId xmlns:a16="http://schemas.microsoft.com/office/drawing/2014/main" id="{00000000-0008-0000-0700-00005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7736" name="Button 88" hidden="1">
              <a:extLst>
                <a:ext uri="{63B3BB69-23CF-44E3-9099-C40C66FF867C}">
                  <a14:compatExt spid="_x0000_s27736"/>
                </a:ext>
                <a:ext uri="{FF2B5EF4-FFF2-40B4-BE49-F238E27FC236}">
                  <a16:creationId xmlns:a16="http://schemas.microsoft.com/office/drawing/2014/main" id="{00000000-0008-0000-0700-00005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7737" name="Button 89" hidden="1">
              <a:extLst>
                <a:ext uri="{63B3BB69-23CF-44E3-9099-C40C66FF867C}">
                  <a14:compatExt spid="_x0000_s27737"/>
                </a:ext>
                <a:ext uri="{FF2B5EF4-FFF2-40B4-BE49-F238E27FC236}">
                  <a16:creationId xmlns:a16="http://schemas.microsoft.com/office/drawing/2014/main" id="{00000000-0008-0000-0700-00005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7738" name="Button 90" hidden="1">
              <a:extLst>
                <a:ext uri="{63B3BB69-23CF-44E3-9099-C40C66FF867C}">
                  <a14:compatExt spid="_x0000_s27738"/>
                </a:ext>
                <a:ext uri="{FF2B5EF4-FFF2-40B4-BE49-F238E27FC236}">
                  <a16:creationId xmlns:a16="http://schemas.microsoft.com/office/drawing/2014/main" id="{00000000-0008-0000-0700-00005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7739" name="Button 91" hidden="1">
              <a:extLst>
                <a:ext uri="{63B3BB69-23CF-44E3-9099-C40C66FF867C}">
                  <a14:compatExt spid="_x0000_s27739"/>
                </a:ext>
                <a:ext uri="{FF2B5EF4-FFF2-40B4-BE49-F238E27FC236}">
                  <a16:creationId xmlns:a16="http://schemas.microsoft.com/office/drawing/2014/main" id="{00000000-0008-0000-0700-00005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7740" name="Button 92" hidden="1">
              <a:extLst>
                <a:ext uri="{63B3BB69-23CF-44E3-9099-C40C66FF867C}">
                  <a14:compatExt spid="_x0000_s27740"/>
                </a:ext>
                <a:ext uri="{FF2B5EF4-FFF2-40B4-BE49-F238E27FC236}">
                  <a16:creationId xmlns:a16="http://schemas.microsoft.com/office/drawing/2014/main" id="{00000000-0008-0000-0700-00005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7741" name="Button 93" hidden="1">
              <a:extLst>
                <a:ext uri="{63B3BB69-23CF-44E3-9099-C40C66FF867C}">
                  <a14:compatExt spid="_x0000_s27741"/>
                </a:ext>
                <a:ext uri="{FF2B5EF4-FFF2-40B4-BE49-F238E27FC236}">
                  <a16:creationId xmlns:a16="http://schemas.microsoft.com/office/drawing/2014/main" id="{00000000-0008-0000-0700-00005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7742" name="Button 94" hidden="1">
              <a:extLst>
                <a:ext uri="{63B3BB69-23CF-44E3-9099-C40C66FF867C}">
                  <a14:compatExt spid="_x0000_s27742"/>
                </a:ext>
                <a:ext uri="{FF2B5EF4-FFF2-40B4-BE49-F238E27FC236}">
                  <a16:creationId xmlns:a16="http://schemas.microsoft.com/office/drawing/2014/main" id="{00000000-0008-0000-0700-00005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7743" name="Button 95" hidden="1">
              <a:extLst>
                <a:ext uri="{63B3BB69-23CF-44E3-9099-C40C66FF867C}">
                  <a14:compatExt spid="_x0000_s27743"/>
                </a:ext>
                <a:ext uri="{FF2B5EF4-FFF2-40B4-BE49-F238E27FC236}">
                  <a16:creationId xmlns:a16="http://schemas.microsoft.com/office/drawing/2014/main" id="{00000000-0008-0000-0700-00005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7744" name="Button 96" hidden="1">
              <a:extLst>
                <a:ext uri="{63B3BB69-23CF-44E3-9099-C40C66FF867C}">
                  <a14:compatExt spid="_x0000_s27744"/>
                </a:ext>
                <a:ext uri="{FF2B5EF4-FFF2-40B4-BE49-F238E27FC236}">
                  <a16:creationId xmlns:a16="http://schemas.microsoft.com/office/drawing/2014/main" id="{00000000-0008-0000-0700-00006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7745" name="Button 97" hidden="1">
              <a:extLst>
                <a:ext uri="{63B3BB69-23CF-44E3-9099-C40C66FF867C}">
                  <a14:compatExt spid="_x0000_s27745"/>
                </a:ext>
                <a:ext uri="{FF2B5EF4-FFF2-40B4-BE49-F238E27FC236}">
                  <a16:creationId xmlns:a16="http://schemas.microsoft.com/office/drawing/2014/main" id="{00000000-0008-0000-0700-00006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7746" name="Button 98" hidden="1">
              <a:extLst>
                <a:ext uri="{63B3BB69-23CF-44E3-9099-C40C66FF867C}">
                  <a14:compatExt spid="_x0000_s27746"/>
                </a:ext>
                <a:ext uri="{FF2B5EF4-FFF2-40B4-BE49-F238E27FC236}">
                  <a16:creationId xmlns:a16="http://schemas.microsoft.com/office/drawing/2014/main" id="{00000000-0008-0000-0700-00006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7747" name="Button 99" hidden="1">
              <a:extLst>
                <a:ext uri="{63B3BB69-23CF-44E3-9099-C40C66FF867C}">
                  <a14:compatExt spid="_x0000_s27747"/>
                </a:ext>
                <a:ext uri="{FF2B5EF4-FFF2-40B4-BE49-F238E27FC236}">
                  <a16:creationId xmlns:a16="http://schemas.microsoft.com/office/drawing/2014/main" id="{00000000-0008-0000-0700-00006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7748" name="Button 100" hidden="1">
              <a:extLst>
                <a:ext uri="{63B3BB69-23CF-44E3-9099-C40C66FF867C}">
                  <a14:compatExt spid="_x0000_s27748"/>
                </a:ext>
                <a:ext uri="{FF2B5EF4-FFF2-40B4-BE49-F238E27FC236}">
                  <a16:creationId xmlns:a16="http://schemas.microsoft.com/office/drawing/2014/main" id="{00000000-0008-0000-0700-00006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7749" name="Button 101" hidden="1">
              <a:extLst>
                <a:ext uri="{63B3BB69-23CF-44E3-9099-C40C66FF867C}">
                  <a14:compatExt spid="_x0000_s27749"/>
                </a:ext>
                <a:ext uri="{FF2B5EF4-FFF2-40B4-BE49-F238E27FC236}">
                  <a16:creationId xmlns:a16="http://schemas.microsoft.com/office/drawing/2014/main" id="{00000000-0008-0000-0700-00006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7750" name="Button 102" hidden="1">
              <a:extLst>
                <a:ext uri="{63B3BB69-23CF-44E3-9099-C40C66FF867C}">
                  <a14:compatExt spid="_x0000_s27750"/>
                </a:ext>
                <a:ext uri="{FF2B5EF4-FFF2-40B4-BE49-F238E27FC236}">
                  <a16:creationId xmlns:a16="http://schemas.microsoft.com/office/drawing/2014/main" id="{00000000-0008-0000-0700-00006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7751" name="Button 103" hidden="1">
              <a:extLst>
                <a:ext uri="{63B3BB69-23CF-44E3-9099-C40C66FF867C}">
                  <a14:compatExt spid="_x0000_s27751"/>
                </a:ext>
                <a:ext uri="{FF2B5EF4-FFF2-40B4-BE49-F238E27FC236}">
                  <a16:creationId xmlns:a16="http://schemas.microsoft.com/office/drawing/2014/main" id="{00000000-0008-0000-0700-00006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7752" name="Button 104" hidden="1">
              <a:extLst>
                <a:ext uri="{63B3BB69-23CF-44E3-9099-C40C66FF867C}">
                  <a14:compatExt spid="_x0000_s27752"/>
                </a:ext>
                <a:ext uri="{FF2B5EF4-FFF2-40B4-BE49-F238E27FC236}">
                  <a16:creationId xmlns:a16="http://schemas.microsoft.com/office/drawing/2014/main" id="{00000000-0008-0000-0700-00006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7753" name="Button 105" hidden="1">
              <a:extLst>
                <a:ext uri="{63B3BB69-23CF-44E3-9099-C40C66FF867C}">
                  <a14:compatExt spid="_x0000_s27753"/>
                </a:ext>
                <a:ext uri="{FF2B5EF4-FFF2-40B4-BE49-F238E27FC236}">
                  <a16:creationId xmlns:a16="http://schemas.microsoft.com/office/drawing/2014/main" id="{00000000-0008-0000-0700-00006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7754" name="Button 106" hidden="1">
              <a:extLst>
                <a:ext uri="{63B3BB69-23CF-44E3-9099-C40C66FF867C}">
                  <a14:compatExt spid="_x0000_s27754"/>
                </a:ext>
                <a:ext uri="{FF2B5EF4-FFF2-40B4-BE49-F238E27FC236}">
                  <a16:creationId xmlns:a16="http://schemas.microsoft.com/office/drawing/2014/main" id="{00000000-0008-0000-0700-00006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7755" name="Button 107" hidden="1">
              <a:extLst>
                <a:ext uri="{63B3BB69-23CF-44E3-9099-C40C66FF867C}">
                  <a14:compatExt spid="_x0000_s27755"/>
                </a:ext>
                <a:ext uri="{FF2B5EF4-FFF2-40B4-BE49-F238E27FC236}">
                  <a16:creationId xmlns:a16="http://schemas.microsoft.com/office/drawing/2014/main" id="{00000000-0008-0000-0700-00006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7756" name="Button 108" hidden="1">
              <a:extLst>
                <a:ext uri="{63B3BB69-23CF-44E3-9099-C40C66FF867C}">
                  <a14:compatExt spid="_x0000_s27756"/>
                </a:ext>
                <a:ext uri="{FF2B5EF4-FFF2-40B4-BE49-F238E27FC236}">
                  <a16:creationId xmlns:a16="http://schemas.microsoft.com/office/drawing/2014/main" id="{00000000-0008-0000-0700-00006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7757" name="Button 109" hidden="1">
              <a:extLst>
                <a:ext uri="{63B3BB69-23CF-44E3-9099-C40C66FF867C}">
                  <a14:compatExt spid="_x0000_s27757"/>
                </a:ext>
                <a:ext uri="{FF2B5EF4-FFF2-40B4-BE49-F238E27FC236}">
                  <a16:creationId xmlns:a16="http://schemas.microsoft.com/office/drawing/2014/main" id="{00000000-0008-0000-0700-00006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7758" name="Button 110" hidden="1">
              <a:extLst>
                <a:ext uri="{63B3BB69-23CF-44E3-9099-C40C66FF867C}">
                  <a14:compatExt spid="_x0000_s27758"/>
                </a:ext>
                <a:ext uri="{FF2B5EF4-FFF2-40B4-BE49-F238E27FC236}">
                  <a16:creationId xmlns:a16="http://schemas.microsoft.com/office/drawing/2014/main" id="{00000000-0008-0000-0700-00006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7759" name="Button 111" hidden="1">
              <a:extLst>
                <a:ext uri="{63B3BB69-23CF-44E3-9099-C40C66FF867C}">
                  <a14:compatExt spid="_x0000_s27759"/>
                </a:ext>
                <a:ext uri="{FF2B5EF4-FFF2-40B4-BE49-F238E27FC236}">
                  <a16:creationId xmlns:a16="http://schemas.microsoft.com/office/drawing/2014/main" id="{00000000-0008-0000-0700-00006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7760" name="Button 112" hidden="1">
              <a:extLst>
                <a:ext uri="{63B3BB69-23CF-44E3-9099-C40C66FF867C}">
                  <a14:compatExt spid="_x0000_s27760"/>
                </a:ext>
                <a:ext uri="{FF2B5EF4-FFF2-40B4-BE49-F238E27FC236}">
                  <a16:creationId xmlns:a16="http://schemas.microsoft.com/office/drawing/2014/main" id="{00000000-0008-0000-0700-00007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7761" name="Button 113" hidden="1">
              <a:extLst>
                <a:ext uri="{63B3BB69-23CF-44E3-9099-C40C66FF867C}">
                  <a14:compatExt spid="_x0000_s27761"/>
                </a:ext>
                <a:ext uri="{FF2B5EF4-FFF2-40B4-BE49-F238E27FC236}">
                  <a16:creationId xmlns:a16="http://schemas.microsoft.com/office/drawing/2014/main" id="{00000000-0008-0000-0700-00007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7762" name="Button 114" hidden="1">
              <a:extLst>
                <a:ext uri="{63B3BB69-23CF-44E3-9099-C40C66FF867C}">
                  <a14:compatExt spid="_x0000_s27762"/>
                </a:ext>
                <a:ext uri="{FF2B5EF4-FFF2-40B4-BE49-F238E27FC236}">
                  <a16:creationId xmlns:a16="http://schemas.microsoft.com/office/drawing/2014/main" id="{00000000-0008-0000-0700-00007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7763" name="Button 115" hidden="1">
              <a:extLst>
                <a:ext uri="{63B3BB69-23CF-44E3-9099-C40C66FF867C}">
                  <a14:compatExt spid="_x0000_s27763"/>
                </a:ext>
                <a:ext uri="{FF2B5EF4-FFF2-40B4-BE49-F238E27FC236}">
                  <a16:creationId xmlns:a16="http://schemas.microsoft.com/office/drawing/2014/main" id="{00000000-0008-0000-0700-00007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7764" name="Button 116" hidden="1">
              <a:extLst>
                <a:ext uri="{63B3BB69-23CF-44E3-9099-C40C66FF867C}">
                  <a14:compatExt spid="_x0000_s27764"/>
                </a:ext>
                <a:ext uri="{FF2B5EF4-FFF2-40B4-BE49-F238E27FC236}">
                  <a16:creationId xmlns:a16="http://schemas.microsoft.com/office/drawing/2014/main" id="{00000000-0008-0000-0700-00007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7765" name="Button 117" hidden="1">
              <a:extLst>
                <a:ext uri="{63B3BB69-23CF-44E3-9099-C40C66FF867C}">
                  <a14:compatExt spid="_x0000_s27765"/>
                </a:ext>
                <a:ext uri="{FF2B5EF4-FFF2-40B4-BE49-F238E27FC236}">
                  <a16:creationId xmlns:a16="http://schemas.microsoft.com/office/drawing/2014/main" id="{00000000-0008-0000-0700-00007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7766" name="Button 118" hidden="1">
              <a:extLst>
                <a:ext uri="{63B3BB69-23CF-44E3-9099-C40C66FF867C}">
                  <a14:compatExt spid="_x0000_s27766"/>
                </a:ext>
                <a:ext uri="{FF2B5EF4-FFF2-40B4-BE49-F238E27FC236}">
                  <a16:creationId xmlns:a16="http://schemas.microsoft.com/office/drawing/2014/main" id="{00000000-0008-0000-0700-00007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7767" name="Button 119" hidden="1">
              <a:extLst>
                <a:ext uri="{63B3BB69-23CF-44E3-9099-C40C66FF867C}">
                  <a14:compatExt spid="_x0000_s27767"/>
                </a:ext>
                <a:ext uri="{FF2B5EF4-FFF2-40B4-BE49-F238E27FC236}">
                  <a16:creationId xmlns:a16="http://schemas.microsoft.com/office/drawing/2014/main" id="{00000000-0008-0000-0700-00007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7768" name="Button 120" hidden="1">
              <a:extLst>
                <a:ext uri="{63B3BB69-23CF-44E3-9099-C40C66FF867C}">
                  <a14:compatExt spid="_x0000_s27768"/>
                </a:ext>
                <a:ext uri="{FF2B5EF4-FFF2-40B4-BE49-F238E27FC236}">
                  <a16:creationId xmlns:a16="http://schemas.microsoft.com/office/drawing/2014/main" id="{00000000-0008-0000-0700-00007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7769" name="Button 121" hidden="1">
              <a:extLst>
                <a:ext uri="{63B3BB69-23CF-44E3-9099-C40C66FF867C}">
                  <a14:compatExt spid="_x0000_s27769"/>
                </a:ext>
                <a:ext uri="{FF2B5EF4-FFF2-40B4-BE49-F238E27FC236}">
                  <a16:creationId xmlns:a16="http://schemas.microsoft.com/office/drawing/2014/main" id="{00000000-0008-0000-0700-00007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7770" name="Button 122" hidden="1">
              <a:extLst>
                <a:ext uri="{63B3BB69-23CF-44E3-9099-C40C66FF867C}">
                  <a14:compatExt spid="_x0000_s27770"/>
                </a:ext>
                <a:ext uri="{FF2B5EF4-FFF2-40B4-BE49-F238E27FC236}">
                  <a16:creationId xmlns:a16="http://schemas.microsoft.com/office/drawing/2014/main" id="{00000000-0008-0000-0700-00007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7771" name="Button 123" hidden="1">
              <a:extLst>
                <a:ext uri="{63B3BB69-23CF-44E3-9099-C40C66FF867C}">
                  <a14:compatExt spid="_x0000_s27771"/>
                </a:ext>
                <a:ext uri="{FF2B5EF4-FFF2-40B4-BE49-F238E27FC236}">
                  <a16:creationId xmlns:a16="http://schemas.microsoft.com/office/drawing/2014/main" id="{00000000-0008-0000-0700-00007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7772" name="Button 124" hidden="1">
              <a:extLst>
                <a:ext uri="{63B3BB69-23CF-44E3-9099-C40C66FF867C}">
                  <a14:compatExt spid="_x0000_s27772"/>
                </a:ext>
                <a:ext uri="{FF2B5EF4-FFF2-40B4-BE49-F238E27FC236}">
                  <a16:creationId xmlns:a16="http://schemas.microsoft.com/office/drawing/2014/main" id="{00000000-0008-0000-0700-00007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7773" name="Button 125" hidden="1">
              <a:extLst>
                <a:ext uri="{63B3BB69-23CF-44E3-9099-C40C66FF867C}">
                  <a14:compatExt spid="_x0000_s27773"/>
                </a:ext>
                <a:ext uri="{FF2B5EF4-FFF2-40B4-BE49-F238E27FC236}">
                  <a16:creationId xmlns:a16="http://schemas.microsoft.com/office/drawing/2014/main" id="{00000000-0008-0000-0700-00007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7774" name="Button 126" hidden="1">
              <a:extLst>
                <a:ext uri="{63B3BB69-23CF-44E3-9099-C40C66FF867C}">
                  <a14:compatExt spid="_x0000_s27774"/>
                </a:ext>
                <a:ext uri="{FF2B5EF4-FFF2-40B4-BE49-F238E27FC236}">
                  <a16:creationId xmlns:a16="http://schemas.microsoft.com/office/drawing/2014/main" id="{00000000-0008-0000-0700-00007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7775" name="Button 127" hidden="1">
              <a:extLst>
                <a:ext uri="{63B3BB69-23CF-44E3-9099-C40C66FF867C}">
                  <a14:compatExt spid="_x0000_s27775"/>
                </a:ext>
                <a:ext uri="{FF2B5EF4-FFF2-40B4-BE49-F238E27FC236}">
                  <a16:creationId xmlns:a16="http://schemas.microsoft.com/office/drawing/2014/main" id="{00000000-0008-0000-0700-00007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7776" name="Button 128" hidden="1">
              <a:extLst>
                <a:ext uri="{63B3BB69-23CF-44E3-9099-C40C66FF867C}">
                  <a14:compatExt spid="_x0000_s27776"/>
                </a:ext>
                <a:ext uri="{FF2B5EF4-FFF2-40B4-BE49-F238E27FC236}">
                  <a16:creationId xmlns:a16="http://schemas.microsoft.com/office/drawing/2014/main" id="{00000000-0008-0000-0700-00008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7777" name="Button 129" hidden="1">
              <a:extLst>
                <a:ext uri="{63B3BB69-23CF-44E3-9099-C40C66FF867C}">
                  <a14:compatExt spid="_x0000_s27777"/>
                </a:ext>
                <a:ext uri="{FF2B5EF4-FFF2-40B4-BE49-F238E27FC236}">
                  <a16:creationId xmlns:a16="http://schemas.microsoft.com/office/drawing/2014/main" id="{00000000-0008-0000-0700-00008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7778" name="Button 130" hidden="1">
              <a:extLst>
                <a:ext uri="{63B3BB69-23CF-44E3-9099-C40C66FF867C}">
                  <a14:compatExt spid="_x0000_s27778"/>
                </a:ext>
                <a:ext uri="{FF2B5EF4-FFF2-40B4-BE49-F238E27FC236}">
                  <a16:creationId xmlns:a16="http://schemas.microsoft.com/office/drawing/2014/main" id="{00000000-0008-0000-0700-00008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7779" name="Button 131" hidden="1">
              <a:extLst>
                <a:ext uri="{63B3BB69-23CF-44E3-9099-C40C66FF867C}">
                  <a14:compatExt spid="_x0000_s27779"/>
                </a:ext>
                <a:ext uri="{FF2B5EF4-FFF2-40B4-BE49-F238E27FC236}">
                  <a16:creationId xmlns:a16="http://schemas.microsoft.com/office/drawing/2014/main" id="{00000000-0008-0000-0700-00008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7780" name="Button 132" hidden="1">
              <a:extLst>
                <a:ext uri="{63B3BB69-23CF-44E3-9099-C40C66FF867C}">
                  <a14:compatExt spid="_x0000_s27780"/>
                </a:ext>
                <a:ext uri="{FF2B5EF4-FFF2-40B4-BE49-F238E27FC236}">
                  <a16:creationId xmlns:a16="http://schemas.microsoft.com/office/drawing/2014/main" id="{00000000-0008-0000-0700-00008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7781" name="Button 133" hidden="1">
              <a:extLst>
                <a:ext uri="{63B3BB69-23CF-44E3-9099-C40C66FF867C}">
                  <a14:compatExt spid="_x0000_s27781"/>
                </a:ext>
                <a:ext uri="{FF2B5EF4-FFF2-40B4-BE49-F238E27FC236}">
                  <a16:creationId xmlns:a16="http://schemas.microsoft.com/office/drawing/2014/main" id="{00000000-0008-0000-0700-00008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7782" name="Button 134" hidden="1">
              <a:extLst>
                <a:ext uri="{63B3BB69-23CF-44E3-9099-C40C66FF867C}">
                  <a14:compatExt spid="_x0000_s27782"/>
                </a:ext>
                <a:ext uri="{FF2B5EF4-FFF2-40B4-BE49-F238E27FC236}">
                  <a16:creationId xmlns:a16="http://schemas.microsoft.com/office/drawing/2014/main" id="{00000000-0008-0000-0700-00008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7783" name="Button 135" hidden="1">
              <a:extLst>
                <a:ext uri="{63B3BB69-23CF-44E3-9099-C40C66FF867C}">
                  <a14:compatExt spid="_x0000_s27783"/>
                </a:ext>
                <a:ext uri="{FF2B5EF4-FFF2-40B4-BE49-F238E27FC236}">
                  <a16:creationId xmlns:a16="http://schemas.microsoft.com/office/drawing/2014/main" id="{00000000-0008-0000-0700-00008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7784" name="Button 136" hidden="1">
              <a:extLst>
                <a:ext uri="{63B3BB69-23CF-44E3-9099-C40C66FF867C}">
                  <a14:compatExt spid="_x0000_s27784"/>
                </a:ext>
                <a:ext uri="{FF2B5EF4-FFF2-40B4-BE49-F238E27FC236}">
                  <a16:creationId xmlns:a16="http://schemas.microsoft.com/office/drawing/2014/main" id="{00000000-0008-0000-0700-00008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7785" name="Button 137" hidden="1">
              <a:extLst>
                <a:ext uri="{63B3BB69-23CF-44E3-9099-C40C66FF867C}">
                  <a14:compatExt spid="_x0000_s27785"/>
                </a:ext>
                <a:ext uri="{FF2B5EF4-FFF2-40B4-BE49-F238E27FC236}">
                  <a16:creationId xmlns:a16="http://schemas.microsoft.com/office/drawing/2014/main" id="{00000000-0008-0000-0700-00008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7786" name="Button 138" hidden="1">
              <a:extLst>
                <a:ext uri="{63B3BB69-23CF-44E3-9099-C40C66FF867C}">
                  <a14:compatExt spid="_x0000_s27786"/>
                </a:ext>
                <a:ext uri="{FF2B5EF4-FFF2-40B4-BE49-F238E27FC236}">
                  <a16:creationId xmlns:a16="http://schemas.microsoft.com/office/drawing/2014/main" id="{00000000-0008-0000-0700-00008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7787" name="Button 139" hidden="1">
              <a:extLst>
                <a:ext uri="{63B3BB69-23CF-44E3-9099-C40C66FF867C}">
                  <a14:compatExt spid="_x0000_s27787"/>
                </a:ext>
                <a:ext uri="{FF2B5EF4-FFF2-40B4-BE49-F238E27FC236}">
                  <a16:creationId xmlns:a16="http://schemas.microsoft.com/office/drawing/2014/main" id="{00000000-0008-0000-0700-00008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7788" name="Button 140" hidden="1">
              <a:extLst>
                <a:ext uri="{63B3BB69-23CF-44E3-9099-C40C66FF867C}">
                  <a14:compatExt spid="_x0000_s27788"/>
                </a:ext>
                <a:ext uri="{FF2B5EF4-FFF2-40B4-BE49-F238E27FC236}">
                  <a16:creationId xmlns:a16="http://schemas.microsoft.com/office/drawing/2014/main" id="{00000000-0008-0000-0700-00008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8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8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2771" name="Button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8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8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2773" name="Button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8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2774" name="Button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8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2775" name="Button 7" hidden="1">
              <a:extLst>
                <a:ext uri="{63B3BB69-23CF-44E3-9099-C40C66FF867C}">
                  <a14:compatExt spid="_x0000_s32775"/>
                </a:ext>
                <a:ext uri="{FF2B5EF4-FFF2-40B4-BE49-F238E27FC236}">
                  <a16:creationId xmlns:a16="http://schemas.microsoft.com/office/drawing/2014/main" id="{00000000-0008-0000-0800-00000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2776" name="Button 8" hidden="1">
              <a:extLst>
                <a:ext uri="{63B3BB69-23CF-44E3-9099-C40C66FF867C}">
                  <a14:compatExt spid="_x0000_s32776"/>
                </a:ext>
                <a:ext uri="{FF2B5EF4-FFF2-40B4-BE49-F238E27FC236}">
                  <a16:creationId xmlns:a16="http://schemas.microsoft.com/office/drawing/2014/main" id="{00000000-0008-0000-0800-00000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2777" name="Button 9" hidden="1">
              <a:extLst>
                <a:ext uri="{63B3BB69-23CF-44E3-9099-C40C66FF867C}">
                  <a14:compatExt spid="_x0000_s32777"/>
                </a:ext>
                <a:ext uri="{FF2B5EF4-FFF2-40B4-BE49-F238E27FC236}">
                  <a16:creationId xmlns:a16="http://schemas.microsoft.com/office/drawing/2014/main" id="{00000000-0008-0000-0800-00000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2778" name="Button 10" hidden="1">
              <a:extLst>
                <a:ext uri="{63B3BB69-23CF-44E3-9099-C40C66FF867C}">
                  <a14:compatExt spid="_x0000_s32778"/>
                </a:ext>
                <a:ext uri="{FF2B5EF4-FFF2-40B4-BE49-F238E27FC236}">
                  <a16:creationId xmlns:a16="http://schemas.microsoft.com/office/drawing/2014/main" id="{00000000-0008-0000-0800-00000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2779" name="Button 11" hidden="1">
              <a:extLst>
                <a:ext uri="{63B3BB69-23CF-44E3-9099-C40C66FF867C}">
                  <a14:compatExt spid="_x0000_s32779"/>
                </a:ext>
                <a:ext uri="{FF2B5EF4-FFF2-40B4-BE49-F238E27FC236}">
                  <a16:creationId xmlns:a16="http://schemas.microsoft.com/office/drawing/2014/main" id="{00000000-0008-0000-0800-00000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2780" name="Button 12" hidden="1">
              <a:extLst>
                <a:ext uri="{63B3BB69-23CF-44E3-9099-C40C66FF867C}">
                  <a14:compatExt spid="_x0000_s32780"/>
                </a:ext>
                <a:ext uri="{FF2B5EF4-FFF2-40B4-BE49-F238E27FC236}">
                  <a16:creationId xmlns:a16="http://schemas.microsoft.com/office/drawing/2014/main" id="{00000000-0008-0000-0800-00000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2781" name="Button 13" hidden="1">
              <a:extLst>
                <a:ext uri="{63B3BB69-23CF-44E3-9099-C40C66FF867C}">
                  <a14:compatExt spid="_x0000_s32781"/>
                </a:ext>
                <a:ext uri="{FF2B5EF4-FFF2-40B4-BE49-F238E27FC236}">
                  <a16:creationId xmlns:a16="http://schemas.microsoft.com/office/drawing/2014/main" id="{00000000-0008-0000-0800-00000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2782" name="Button 14" hidden="1">
              <a:extLst>
                <a:ext uri="{63B3BB69-23CF-44E3-9099-C40C66FF867C}">
                  <a14:compatExt spid="_x0000_s32782"/>
                </a:ext>
                <a:ext uri="{FF2B5EF4-FFF2-40B4-BE49-F238E27FC236}">
                  <a16:creationId xmlns:a16="http://schemas.microsoft.com/office/drawing/2014/main" id="{00000000-0008-0000-0800-00000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2783" name="Button 15" hidden="1">
              <a:extLst>
                <a:ext uri="{63B3BB69-23CF-44E3-9099-C40C66FF867C}">
                  <a14:compatExt spid="_x0000_s32783"/>
                </a:ext>
                <a:ext uri="{FF2B5EF4-FFF2-40B4-BE49-F238E27FC236}">
                  <a16:creationId xmlns:a16="http://schemas.microsoft.com/office/drawing/2014/main" id="{00000000-0008-0000-0800-00000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2784" name="Button 16" hidden="1">
              <a:extLst>
                <a:ext uri="{63B3BB69-23CF-44E3-9099-C40C66FF867C}">
                  <a14:compatExt spid="_x0000_s32784"/>
                </a:ext>
                <a:ext uri="{FF2B5EF4-FFF2-40B4-BE49-F238E27FC236}">
                  <a16:creationId xmlns:a16="http://schemas.microsoft.com/office/drawing/2014/main" id="{00000000-0008-0000-0800-00001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2785" name="Button 17" hidden="1">
              <a:extLst>
                <a:ext uri="{63B3BB69-23CF-44E3-9099-C40C66FF867C}">
                  <a14:compatExt spid="_x0000_s32785"/>
                </a:ext>
                <a:ext uri="{FF2B5EF4-FFF2-40B4-BE49-F238E27FC236}">
                  <a16:creationId xmlns:a16="http://schemas.microsoft.com/office/drawing/2014/main" id="{00000000-0008-0000-0800-00001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2786" name="Button 18" hidden="1">
              <a:extLst>
                <a:ext uri="{63B3BB69-23CF-44E3-9099-C40C66FF867C}">
                  <a14:compatExt spid="_x0000_s32786"/>
                </a:ext>
                <a:ext uri="{FF2B5EF4-FFF2-40B4-BE49-F238E27FC236}">
                  <a16:creationId xmlns:a16="http://schemas.microsoft.com/office/drawing/2014/main" id="{00000000-0008-0000-0800-00001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2787" name="Button 19" hidden="1">
              <a:extLst>
                <a:ext uri="{63B3BB69-23CF-44E3-9099-C40C66FF867C}">
                  <a14:compatExt spid="_x0000_s32787"/>
                </a:ext>
                <a:ext uri="{FF2B5EF4-FFF2-40B4-BE49-F238E27FC236}">
                  <a16:creationId xmlns:a16="http://schemas.microsoft.com/office/drawing/2014/main" id="{00000000-0008-0000-0800-00001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2788" name="Button 20" hidden="1">
              <a:extLst>
                <a:ext uri="{63B3BB69-23CF-44E3-9099-C40C66FF867C}">
                  <a14:compatExt spid="_x0000_s32788"/>
                </a:ext>
                <a:ext uri="{FF2B5EF4-FFF2-40B4-BE49-F238E27FC236}">
                  <a16:creationId xmlns:a16="http://schemas.microsoft.com/office/drawing/2014/main" id="{00000000-0008-0000-0800-00001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2789" name="Button 21" hidden="1">
              <a:extLst>
                <a:ext uri="{63B3BB69-23CF-44E3-9099-C40C66FF867C}">
                  <a14:compatExt spid="_x0000_s32789"/>
                </a:ext>
                <a:ext uri="{FF2B5EF4-FFF2-40B4-BE49-F238E27FC236}">
                  <a16:creationId xmlns:a16="http://schemas.microsoft.com/office/drawing/2014/main" id="{00000000-0008-0000-0800-00001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2790" name="Button 22" hidden="1">
              <a:extLst>
                <a:ext uri="{63B3BB69-23CF-44E3-9099-C40C66FF867C}">
                  <a14:compatExt spid="_x0000_s32790"/>
                </a:ext>
                <a:ext uri="{FF2B5EF4-FFF2-40B4-BE49-F238E27FC236}">
                  <a16:creationId xmlns:a16="http://schemas.microsoft.com/office/drawing/2014/main" id="{00000000-0008-0000-0800-00001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2791" name="Button 23" hidden="1">
              <a:extLst>
                <a:ext uri="{63B3BB69-23CF-44E3-9099-C40C66FF867C}">
                  <a14:compatExt spid="_x0000_s32791"/>
                </a:ext>
                <a:ext uri="{FF2B5EF4-FFF2-40B4-BE49-F238E27FC236}">
                  <a16:creationId xmlns:a16="http://schemas.microsoft.com/office/drawing/2014/main" id="{00000000-0008-0000-0800-00001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2792" name="Button 24" hidden="1">
              <a:extLst>
                <a:ext uri="{63B3BB69-23CF-44E3-9099-C40C66FF867C}">
                  <a14:compatExt spid="_x0000_s32792"/>
                </a:ext>
                <a:ext uri="{FF2B5EF4-FFF2-40B4-BE49-F238E27FC236}">
                  <a16:creationId xmlns:a16="http://schemas.microsoft.com/office/drawing/2014/main" id="{00000000-0008-0000-0800-00001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2793" name="Button 25" hidden="1">
              <a:extLst>
                <a:ext uri="{63B3BB69-23CF-44E3-9099-C40C66FF867C}">
                  <a14:compatExt spid="_x0000_s32793"/>
                </a:ext>
                <a:ext uri="{FF2B5EF4-FFF2-40B4-BE49-F238E27FC236}">
                  <a16:creationId xmlns:a16="http://schemas.microsoft.com/office/drawing/2014/main" id="{00000000-0008-0000-0800-00001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2794" name="Button 26" hidden="1">
              <a:extLst>
                <a:ext uri="{63B3BB69-23CF-44E3-9099-C40C66FF867C}">
                  <a14:compatExt spid="_x0000_s32794"/>
                </a:ext>
                <a:ext uri="{FF2B5EF4-FFF2-40B4-BE49-F238E27FC236}">
                  <a16:creationId xmlns:a16="http://schemas.microsoft.com/office/drawing/2014/main" id="{00000000-0008-0000-0800-00001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2795" name="Button 27" hidden="1">
              <a:extLst>
                <a:ext uri="{63B3BB69-23CF-44E3-9099-C40C66FF867C}">
                  <a14:compatExt spid="_x0000_s32795"/>
                </a:ext>
                <a:ext uri="{FF2B5EF4-FFF2-40B4-BE49-F238E27FC236}">
                  <a16:creationId xmlns:a16="http://schemas.microsoft.com/office/drawing/2014/main" id="{00000000-0008-0000-0800-00001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2796" name="Button 28" hidden="1">
              <a:extLst>
                <a:ext uri="{63B3BB69-23CF-44E3-9099-C40C66FF867C}">
                  <a14:compatExt spid="_x0000_s32796"/>
                </a:ext>
                <a:ext uri="{FF2B5EF4-FFF2-40B4-BE49-F238E27FC236}">
                  <a16:creationId xmlns:a16="http://schemas.microsoft.com/office/drawing/2014/main" id="{00000000-0008-0000-0800-00001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2797" name="Button 29" hidden="1">
              <a:extLst>
                <a:ext uri="{63B3BB69-23CF-44E3-9099-C40C66FF867C}">
                  <a14:compatExt spid="_x0000_s32797"/>
                </a:ext>
                <a:ext uri="{FF2B5EF4-FFF2-40B4-BE49-F238E27FC236}">
                  <a16:creationId xmlns:a16="http://schemas.microsoft.com/office/drawing/2014/main" id="{00000000-0008-0000-0800-00001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2798" name="Button 30" hidden="1">
              <a:extLst>
                <a:ext uri="{63B3BB69-23CF-44E3-9099-C40C66FF867C}">
                  <a14:compatExt spid="_x0000_s32798"/>
                </a:ext>
                <a:ext uri="{FF2B5EF4-FFF2-40B4-BE49-F238E27FC236}">
                  <a16:creationId xmlns:a16="http://schemas.microsoft.com/office/drawing/2014/main" id="{00000000-0008-0000-0800-00001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2799" name="Button 31" hidden="1">
              <a:extLst>
                <a:ext uri="{63B3BB69-23CF-44E3-9099-C40C66FF867C}">
                  <a14:compatExt spid="_x0000_s32799"/>
                </a:ext>
                <a:ext uri="{FF2B5EF4-FFF2-40B4-BE49-F238E27FC236}">
                  <a16:creationId xmlns:a16="http://schemas.microsoft.com/office/drawing/2014/main" id="{00000000-0008-0000-0800-00001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2800" name="Button 32" hidden="1">
              <a:extLst>
                <a:ext uri="{63B3BB69-23CF-44E3-9099-C40C66FF867C}">
                  <a14:compatExt spid="_x0000_s32800"/>
                </a:ext>
                <a:ext uri="{FF2B5EF4-FFF2-40B4-BE49-F238E27FC236}">
                  <a16:creationId xmlns:a16="http://schemas.microsoft.com/office/drawing/2014/main" id="{00000000-0008-0000-0800-00002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2801" name="Button 33" hidden="1">
              <a:extLst>
                <a:ext uri="{63B3BB69-23CF-44E3-9099-C40C66FF867C}">
                  <a14:compatExt spid="_x0000_s32801"/>
                </a:ext>
                <a:ext uri="{FF2B5EF4-FFF2-40B4-BE49-F238E27FC236}">
                  <a16:creationId xmlns:a16="http://schemas.microsoft.com/office/drawing/2014/main" id="{00000000-0008-0000-0800-00002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2802" name="Button 34" hidden="1">
              <a:extLst>
                <a:ext uri="{63B3BB69-23CF-44E3-9099-C40C66FF867C}">
                  <a14:compatExt spid="_x0000_s32802"/>
                </a:ext>
                <a:ext uri="{FF2B5EF4-FFF2-40B4-BE49-F238E27FC236}">
                  <a16:creationId xmlns:a16="http://schemas.microsoft.com/office/drawing/2014/main" id="{00000000-0008-0000-0800-00002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2803" name="Button 35" hidden="1">
              <a:extLst>
                <a:ext uri="{63B3BB69-23CF-44E3-9099-C40C66FF867C}">
                  <a14:compatExt spid="_x0000_s32803"/>
                </a:ext>
                <a:ext uri="{FF2B5EF4-FFF2-40B4-BE49-F238E27FC236}">
                  <a16:creationId xmlns:a16="http://schemas.microsoft.com/office/drawing/2014/main" id="{00000000-0008-0000-0800-00002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2804" name="Button 36" hidden="1">
              <a:extLst>
                <a:ext uri="{63B3BB69-23CF-44E3-9099-C40C66FF867C}">
                  <a14:compatExt spid="_x0000_s32804"/>
                </a:ext>
                <a:ext uri="{FF2B5EF4-FFF2-40B4-BE49-F238E27FC236}">
                  <a16:creationId xmlns:a16="http://schemas.microsoft.com/office/drawing/2014/main" id="{00000000-0008-0000-0800-00002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2805" name="Button 37" hidden="1">
              <a:extLst>
                <a:ext uri="{63B3BB69-23CF-44E3-9099-C40C66FF867C}">
                  <a14:compatExt spid="_x0000_s32805"/>
                </a:ext>
                <a:ext uri="{FF2B5EF4-FFF2-40B4-BE49-F238E27FC236}">
                  <a16:creationId xmlns:a16="http://schemas.microsoft.com/office/drawing/2014/main" id="{00000000-0008-0000-0800-00002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2806" name="Button 38" hidden="1">
              <a:extLst>
                <a:ext uri="{63B3BB69-23CF-44E3-9099-C40C66FF867C}">
                  <a14:compatExt spid="_x0000_s32806"/>
                </a:ext>
                <a:ext uri="{FF2B5EF4-FFF2-40B4-BE49-F238E27FC236}">
                  <a16:creationId xmlns:a16="http://schemas.microsoft.com/office/drawing/2014/main" id="{00000000-0008-0000-0800-00002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2807" name="Button 39" hidden="1">
              <a:extLst>
                <a:ext uri="{63B3BB69-23CF-44E3-9099-C40C66FF867C}">
                  <a14:compatExt spid="_x0000_s32807"/>
                </a:ext>
                <a:ext uri="{FF2B5EF4-FFF2-40B4-BE49-F238E27FC236}">
                  <a16:creationId xmlns:a16="http://schemas.microsoft.com/office/drawing/2014/main" id="{00000000-0008-0000-0800-00002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2808" name="Button 40" hidden="1">
              <a:extLst>
                <a:ext uri="{63B3BB69-23CF-44E3-9099-C40C66FF867C}">
                  <a14:compatExt spid="_x0000_s32808"/>
                </a:ext>
                <a:ext uri="{FF2B5EF4-FFF2-40B4-BE49-F238E27FC236}">
                  <a16:creationId xmlns:a16="http://schemas.microsoft.com/office/drawing/2014/main" id="{00000000-0008-0000-0800-00002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2809" name="Button 41" hidden="1">
              <a:extLst>
                <a:ext uri="{63B3BB69-23CF-44E3-9099-C40C66FF867C}">
                  <a14:compatExt spid="_x0000_s32809"/>
                </a:ext>
                <a:ext uri="{FF2B5EF4-FFF2-40B4-BE49-F238E27FC236}">
                  <a16:creationId xmlns:a16="http://schemas.microsoft.com/office/drawing/2014/main" id="{00000000-0008-0000-0800-00002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2810" name="Button 42" hidden="1">
              <a:extLst>
                <a:ext uri="{63B3BB69-23CF-44E3-9099-C40C66FF867C}">
                  <a14:compatExt spid="_x0000_s32810"/>
                </a:ext>
                <a:ext uri="{FF2B5EF4-FFF2-40B4-BE49-F238E27FC236}">
                  <a16:creationId xmlns:a16="http://schemas.microsoft.com/office/drawing/2014/main" id="{00000000-0008-0000-0800-00002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2811" name="Button 43" hidden="1">
              <a:extLst>
                <a:ext uri="{63B3BB69-23CF-44E3-9099-C40C66FF867C}">
                  <a14:compatExt spid="_x0000_s32811"/>
                </a:ext>
                <a:ext uri="{FF2B5EF4-FFF2-40B4-BE49-F238E27FC236}">
                  <a16:creationId xmlns:a16="http://schemas.microsoft.com/office/drawing/2014/main" id="{00000000-0008-0000-0800-00002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2812" name="Button 44" hidden="1">
              <a:extLst>
                <a:ext uri="{63B3BB69-23CF-44E3-9099-C40C66FF867C}">
                  <a14:compatExt spid="_x0000_s32812"/>
                </a:ext>
                <a:ext uri="{FF2B5EF4-FFF2-40B4-BE49-F238E27FC236}">
                  <a16:creationId xmlns:a16="http://schemas.microsoft.com/office/drawing/2014/main" id="{00000000-0008-0000-0800-00002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2813" name="Button 45" hidden="1">
              <a:extLst>
                <a:ext uri="{63B3BB69-23CF-44E3-9099-C40C66FF867C}">
                  <a14:compatExt spid="_x0000_s32813"/>
                </a:ext>
                <a:ext uri="{FF2B5EF4-FFF2-40B4-BE49-F238E27FC236}">
                  <a16:creationId xmlns:a16="http://schemas.microsoft.com/office/drawing/2014/main" id="{00000000-0008-0000-0800-00002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2814" name="Button 46" hidden="1">
              <a:extLst>
                <a:ext uri="{63B3BB69-23CF-44E3-9099-C40C66FF867C}">
                  <a14:compatExt spid="_x0000_s32814"/>
                </a:ext>
                <a:ext uri="{FF2B5EF4-FFF2-40B4-BE49-F238E27FC236}">
                  <a16:creationId xmlns:a16="http://schemas.microsoft.com/office/drawing/2014/main" id="{00000000-0008-0000-0800-00002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2815" name="Button 47" hidden="1">
              <a:extLst>
                <a:ext uri="{63B3BB69-23CF-44E3-9099-C40C66FF867C}">
                  <a14:compatExt spid="_x0000_s32815"/>
                </a:ext>
                <a:ext uri="{FF2B5EF4-FFF2-40B4-BE49-F238E27FC236}">
                  <a16:creationId xmlns:a16="http://schemas.microsoft.com/office/drawing/2014/main" id="{00000000-0008-0000-0800-00002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2816" name="Button 48" hidden="1">
              <a:extLst>
                <a:ext uri="{63B3BB69-23CF-44E3-9099-C40C66FF867C}">
                  <a14:compatExt spid="_x0000_s32816"/>
                </a:ext>
                <a:ext uri="{FF2B5EF4-FFF2-40B4-BE49-F238E27FC236}">
                  <a16:creationId xmlns:a16="http://schemas.microsoft.com/office/drawing/2014/main" id="{00000000-0008-0000-0800-00003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2817" name="Button 49" hidden="1">
              <a:extLst>
                <a:ext uri="{63B3BB69-23CF-44E3-9099-C40C66FF867C}">
                  <a14:compatExt spid="_x0000_s32817"/>
                </a:ext>
                <a:ext uri="{FF2B5EF4-FFF2-40B4-BE49-F238E27FC236}">
                  <a16:creationId xmlns:a16="http://schemas.microsoft.com/office/drawing/2014/main" id="{00000000-0008-0000-0800-00003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2818" name="Button 50" hidden="1">
              <a:extLst>
                <a:ext uri="{63B3BB69-23CF-44E3-9099-C40C66FF867C}">
                  <a14:compatExt spid="_x0000_s32818"/>
                </a:ext>
                <a:ext uri="{FF2B5EF4-FFF2-40B4-BE49-F238E27FC236}">
                  <a16:creationId xmlns:a16="http://schemas.microsoft.com/office/drawing/2014/main" id="{00000000-0008-0000-0800-00003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2819" name="Button 51" hidden="1">
              <a:extLst>
                <a:ext uri="{63B3BB69-23CF-44E3-9099-C40C66FF867C}">
                  <a14:compatExt spid="_x0000_s32819"/>
                </a:ext>
                <a:ext uri="{FF2B5EF4-FFF2-40B4-BE49-F238E27FC236}">
                  <a16:creationId xmlns:a16="http://schemas.microsoft.com/office/drawing/2014/main" id="{00000000-0008-0000-0800-00003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2820" name="Button 52" hidden="1">
              <a:extLst>
                <a:ext uri="{63B3BB69-23CF-44E3-9099-C40C66FF867C}">
                  <a14:compatExt spid="_x0000_s32820"/>
                </a:ext>
                <a:ext uri="{FF2B5EF4-FFF2-40B4-BE49-F238E27FC236}">
                  <a16:creationId xmlns:a16="http://schemas.microsoft.com/office/drawing/2014/main" id="{00000000-0008-0000-0800-00003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2821" name="Button 53" hidden="1">
              <a:extLst>
                <a:ext uri="{63B3BB69-23CF-44E3-9099-C40C66FF867C}">
                  <a14:compatExt spid="_x0000_s32821"/>
                </a:ext>
                <a:ext uri="{FF2B5EF4-FFF2-40B4-BE49-F238E27FC236}">
                  <a16:creationId xmlns:a16="http://schemas.microsoft.com/office/drawing/2014/main" id="{00000000-0008-0000-0800-00003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2822" name="Button 54" hidden="1">
              <a:extLst>
                <a:ext uri="{63B3BB69-23CF-44E3-9099-C40C66FF867C}">
                  <a14:compatExt spid="_x0000_s32822"/>
                </a:ext>
                <a:ext uri="{FF2B5EF4-FFF2-40B4-BE49-F238E27FC236}">
                  <a16:creationId xmlns:a16="http://schemas.microsoft.com/office/drawing/2014/main" id="{00000000-0008-0000-0800-00003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2823" name="Button 55" hidden="1">
              <a:extLst>
                <a:ext uri="{63B3BB69-23CF-44E3-9099-C40C66FF867C}">
                  <a14:compatExt spid="_x0000_s32823"/>
                </a:ext>
                <a:ext uri="{FF2B5EF4-FFF2-40B4-BE49-F238E27FC236}">
                  <a16:creationId xmlns:a16="http://schemas.microsoft.com/office/drawing/2014/main" id="{00000000-0008-0000-0800-00003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2824" name="Button 56" hidden="1">
              <a:extLst>
                <a:ext uri="{63B3BB69-23CF-44E3-9099-C40C66FF867C}">
                  <a14:compatExt spid="_x0000_s32824"/>
                </a:ext>
                <a:ext uri="{FF2B5EF4-FFF2-40B4-BE49-F238E27FC236}">
                  <a16:creationId xmlns:a16="http://schemas.microsoft.com/office/drawing/2014/main" id="{00000000-0008-0000-0800-00003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2825" name="Button 57" hidden="1">
              <a:extLst>
                <a:ext uri="{63B3BB69-23CF-44E3-9099-C40C66FF867C}">
                  <a14:compatExt spid="_x0000_s32825"/>
                </a:ext>
                <a:ext uri="{FF2B5EF4-FFF2-40B4-BE49-F238E27FC236}">
                  <a16:creationId xmlns:a16="http://schemas.microsoft.com/office/drawing/2014/main" id="{00000000-0008-0000-0800-00003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2826" name="Button 58" hidden="1">
              <a:extLst>
                <a:ext uri="{63B3BB69-23CF-44E3-9099-C40C66FF867C}">
                  <a14:compatExt spid="_x0000_s32826"/>
                </a:ext>
                <a:ext uri="{FF2B5EF4-FFF2-40B4-BE49-F238E27FC236}">
                  <a16:creationId xmlns:a16="http://schemas.microsoft.com/office/drawing/2014/main" id="{00000000-0008-0000-0800-00003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2827" name="Button 59" hidden="1">
              <a:extLst>
                <a:ext uri="{63B3BB69-23CF-44E3-9099-C40C66FF867C}">
                  <a14:compatExt spid="_x0000_s32827"/>
                </a:ext>
                <a:ext uri="{FF2B5EF4-FFF2-40B4-BE49-F238E27FC236}">
                  <a16:creationId xmlns:a16="http://schemas.microsoft.com/office/drawing/2014/main" id="{00000000-0008-0000-0800-00003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2828" name="Button 60" hidden="1">
              <a:extLst>
                <a:ext uri="{63B3BB69-23CF-44E3-9099-C40C66FF867C}">
                  <a14:compatExt spid="_x0000_s32828"/>
                </a:ext>
                <a:ext uri="{FF2B5EF4-FFF2-40B4-BE49-F238E27FC236}">
                  <a16:creationId xmlns:a16="http://schemas.microsoft.com/office/drawing/2014/main" id="{00000000-0008-0000-0800-00003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2829" name="Button 61" hidden="1">
              <a:extLst>
                <a:ext uri="{63B3BB69-23CF-44E3-9099-C40C66FF867C}">
                  <a14:compatExt spid="_x0000_s32829"/>
                </a:ext>
                <a:ext uri="{FF2B5EF4-FFF2-40B4-BE49-F238E27FC236}">
                  <a16:creationId xmlns:a16="http://schemas.microsoft.com/office/drawing/2014/main" id="{00000000-0008-0000-0800-00003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2830" name="Button 62" hidden="1">
              <a:extLst>
                <a:ext uri="{63B3BB69-23CF-44E3-9099-C40C66FF867C}">
                  <a14:compatExt spid="_x0000_s32830"/>
                </a:ext>
                <a:ext uri="{FF2B5EF4-FFF2-40B4-BE49-F238E27FC236}">
                  <a16:creationId xmlns:a16="http://schemas.microsoft.com/office/drawing/2014/main" id="{00000000-0008-0000-0800-00003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2831" name="Button 63" hidden="1">
              <a:extLst>
                <a:ext uri="{63B3BB69-23CF-44E3-9099-C40C66FF867C}">
                  <a14:compatExt spid="_x0000_s32831"/>
                </a:ext>
                <a:ext uri="{FF2B5EF4-FFF2-40B4-BE49-F238E27FC236}">
                  <a16:creationId xmlns:a16="http://schemas.microsoft.com/office/drawing/2014/main" id="{00000000-0008-0000-0800-00003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2832" name="Button 64" hidden="1">
              <a:extLst>
                <a:ext uri="{63B3BB69-23CF-44E3-9099-C40C66FF867C}">
                  <a14:compatExt spid="_x0000_s32832"/>
                </a:ext>
                <a:ext uri="{FF2B5EF4-FFF2-40B4-BE49-F238E27FC236}">
                  <a16:creationId xmlns:a16="http://schemas.microsoft.com/office/drawing/2014/main" id="{00000000-0008-0000-0800-00004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2833" name="Button 65" hidden="1">
              <a:extLst>
                <a:ext uri="{63B3BB69-23CF-44E3-9099-C40C66FF867C}">
                  <a14:compatExt spid="_x0000_s32833"/>
                </a:ext>
                <a:ext uri="{FF2B5EF4-FFF2-40B4-BE49-F238E27FC236}">
                  <a16:creationId xmlns:a16="http://schemas.microsoft.com/office/drawing/2014/main" id="{00000000-0008-0000-0800-00004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2834" name="Button 66" hidden="1">
              <a:extLst>
                <a:ext uri="{63B3BB69-23CF-44E3-9099-C40C66FF867C}">
                  <a14:compatExt spid="_x0000_s32834"/>
                </a:ext>
                <a:ext uri="{FF2B5EF4-FFF2-40B4-BE49-F238E27FC236}">
                  <a16:creationId xmlns:a16="http://schemas.microsoft.com/office/drawing/2014/main" id="{00000000-0008-0000-0800-00004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2835" name="Button 67" hidden="1">
              <a:extLst>
                <a:ext uri="{63B3BB69-23CF-44E3-9099-C40C66FF867C}">
                  <a14:compatExt spid="_x0000_s32835"/>
                </a:ext>
                <a:ext uri="{FF2B5EF4-FFF2-40B4-BE49-F238E27FC236}">
                  <a16:creationId xmlns:a16="http://schemas.microsoft.com/office/drawing/2014/main" id="{00000000-0008-0000-0800-00004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2836" name="Button 68" hidden="1">
              <a:extLst>
                <a:ext uri="{63B3BB69-23CF-44E3-9099-C40C66FF867C}">
                  <a14:compatExt spid="_x0000_s32836"/>
                </a:ext>
                <a:ext uri="{FF2B5EF4-FFF2-40B4-BE49-F238E27FC236}">
                  <a16:creationId xmlns:a16="http://schemas.microsoft.com/office/drawing/2014/main" id="{00000000-0008-0000-0800-00004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2837" name="Button 69" hidden="1">
              <a:extLst>
                <a:ext uri="{63B3BB69-23CF-44E3-9099-C40C66FF867C}">
                  <a14:compatExt spid="_x0000_s32837"/>
                </a:ext>
                <a:ext uri="{FF2B5EF4-FFF2-40B4-BE49-F238E27FC236}">
                  <a16:creationId xmlns:a16="http://schemas.microsoft.com/office/drawing/2014/main" id="{00000000-0008-0000-0800-00004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2838" name="Button 70" hidden="1">
              <a:extLst>
                <a:ext uri="{63B3BB69-23CF-44E3-9099-C40C66FF867C}">
                  <a14:compatExt spid="_x0000_s32838"/>
                </a:ext>
                <a:ext uri="{FF2B5EF4-FFF2-40B4-BE49-F238E27FC236}">
                  <a16:creationId xmlns:a16="http://schemas.microsoft.com/office/drawing/2014/main" id="{00000000-0008-0000-0800-00004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2839" name="Button 71" hidden="1">
              <a:extLst>
                <a:ext uri="{63B3BB69-23CF-44E3-9099-C40C66FF867C}">
                  <a14:compatExt spid="_x0000_s32839"/>
                </a:ext>
                <a:ext uri="{FF2B5EF4-FFF2-40B4-BE49-F238E27FC236}">
                  <a16:creationId xmlns:a16="http://schemas.microsoft.com/office/drawing/2014/main" id="{00000000-0008-0000-0800-00004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2840" name="Button 72" hidden="1">
              <a:extLst>
                <a:ext uri="{63B3BB69-23CF-44E3-9099-C40C66FF867C}">
                  <a14:compatExt spid="_x0000_s32840"/>
                </a:ext>
                <a:ext uri="{FF2B5EF4-FFF2-40B4-BE49-F238E27FC236}">
                  <a16:creationId xmlns:a16="http://schemas.microsoft.com/office/drawing/2014/main" id="{00000000-0008-0000-0800-00004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2841" name="Button 73" hidden="1">
              <a:extLst>
                <a:ext uri="{63B3BB69-23CF-44E3-9099-C40C66FF867C}">
                  <a14:compatExt spid="_x0000_s32841"/>
                </a:ext>
                <a:ext uri="{FF2B5EF4-FFF2-40B4-BE49-F238E27FC236}">
                  <a16:creationId xmlns:a16="http://schemas.microsoft.com/office/drawing/2014/main" id="{00000000-0008-0000-0800-00004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2842" name="Button 74" hidden="1">
              <a:extLst>
                <a:ext uri="{63B3BB69-23CF-44E3-9099-C40C66FF867C}">
                  <a14:compatExt spid="_x0000_s32842"/>
                </a:ext>
                <a:ext uri="{FF2B5EF4-FFF2-40B4-BE49-F238E27FC236}">
                  <a16:creationId xmlns:a16="http://schemas.microsoft.com/office/drawing/2014/main" id="{00000000-0008-0000-0800-00004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2843" name="Button 75" hidden="1">
              <a:extLst>
                <a:ext uri="{63B3BB69-23CF-44E3-9099-C40C66FF867C}">
                  <a14:compatExt spid="_x0000_s32843"/>
                </a:ext>
                <a:ext uri="{FF2B5EF4-FFF2-40B4-BE49-F238E27FC236}">
                  <a16:creationId xmlns:a16="http://schemas.microsoft.com/office/drawing/2014/main" id="{00000000-0008-0000-0800-00004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2844" name="Button 76" hidden="1">
              <a:extLst>
                <a:ext uri="{63B3BB69-23CF-44E3-9099-C40C66FF867C}">
                  <a14:compatExt spid="_x0000_s32844"/>
                </a:ext>
                <a:ext uri="{FF2B5EF4-FFF2-40B4-BE49-F238E27FC236}">
                  <a16:creationId xmlns:a16="http://schemas.microsoft.com/office/drawing/2014/main" id="{00000000-0008-0000-0800-00004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2845" name="Button 77" hidden="1">
              <a:extLst>
                <a:ext uri="{63B3BB69-23CF-44E3-9099-C40C66FF867C}">
                  <a14:compatExt spid="_x0000_s32845"/>
                </a:ext>
                <a:ext uri="{FF2B5EF4-FFF2-40B4-BE49-F238E27FC236}">
                  <a16:creationId xmlns:a16="http://schemas.microsoft.com/office/drawing/2014/main" id="{00000000-0008-0000-0800-00004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2846" name="Button 78" hidden="1">
              <a:extLst>
                <a:ext uri="{63B3BB69-23CF-44E3-9099-C40C66FF867C}">
                  <a14:compatExt spid="_x0000_s32846"/>
                </a:ext>
                <a:ext uri="{FF2B5EF4-FFF2-40B4-BE49-F238E27FC236}">
                  <a16:creationId xmlns:a16="http://schemas.microsoft.com/office/drawing/2014/main" id="{00000000-0008-0000-0800-00004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2847" name="Button 79" hidden="1">
              <a:extLst>
                <a:ext uri="{63B3BB69-23CF-44E3-9099-C40C66FF867C}">
                  <a14:compatExt spid="_x0000_s32847"/>
                </a:ext>
                <a:ext uri="{FF2B5EF4-FFF2-40B4-BE49-F238E27FC236}">
                  <a16:creationId xmlns:a16="http://schemas.microsoft.com/office/drawing/2014/main" id="{00000000-0008-0000-0800-00004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2848" name="Button 80" hidden="1">
              <a:extLst>
                <a:ext uri="{63B3BB69-23CF-44E3-9099-C40C66FF867C}">
                  <a14:compatExt spid="_x0000_s32848"/>
                </a:ext>
                <a:ext uri="{FF2B5EF4-FFF2-40B4-BE49-F238E27FC236}">
                  <a16:creationId xmlns:a16="http://schemas.microsoft.com/office/drawing/2014/main" id="{00000000-0008-0000-0800-00005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2849" name="Button 81" hidden="1">
              <a:extLst>
                <a:ext uri="{63B3BB69-23CF-44E3-9099-C40C66FF867C}">
                  <a14:compatExt spid="_x0000_s32849"/>
                </a:ext>
                <a:ext uri="{FF2B5EF4-FFF2-40B4-BE49-F238E27FC236}">
                  <a16:creationId xmlns:a16="http://schemas.microsoft.com/office/drawing/2014/main" id="{00000000-0008-0000-0800-00005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2850" name="Button 82" hidden="1">
              <a:extLst>
                <a:ext uri="{63B3BB69-23CF-44E3-9099-C40C66FF867C}">
                  <a14:compatExt spid="_x0000_s32850"/>
                </a:ext>
                <a:ext uri="{FF2B5EF4-FFF2-40B4-BE49-F238E27FC236}">
                  <a16:creationId xmlns:a16="http://schemas.microsoft.com/office/drawing/2014/main" id="{00000000-0008-0000-0800-00005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2851" name="Button 83" hidden="1">
              <a:extLst>
                <a:ext uri="{63B3BB69-23CF-44E3-9099-C40C66FF867C}">
                  <a14:compatExt spid="_x0000_s32851"/>
                </a:ext>
                <a:ext uri="{FF2B5EF4-FFF2-40B4-BE49-F238E27FC236}">
                  <a16:creationId xmlns:a16="http://schemas.microsoft.com/office/drawing/2014/main" id="{00000000-0008-0000-0800-00005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2852" name="Button 84" hidden="1">
              <a:extLst>
                <a:ext uri="{63B3BB69-23CF-44E3-9099-C40C66FF867C}">
                  <a14:compatExt spid="_x0000_s32852"/>
                </a:ext>
                <a:ext uri="{FF2B5EF4-FFF2-40B4-BE49-F238E27FC236}">
                  <a16:creationId xmlns:a16="http://schemas.microsoft.com/office/drawing/2014/main" id="{00000000-0008-0000-0800-00005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2853" name="Button 85" hidden="1">
              <a:extLst>
                <a:ext uri="{63B3BB69-23CF-44E3-9099-C40C66FF867C}">
                  <a14:compatExt spid="_x0000_s32853"/>
                </a:ext>
                <a:ext uri="{FF2B5EF4-FFF2-40B4-BE49-F238E27FC236}">
                  <a16:creationId xmlns:a16="http://schemas.microsoft.com/office/drawing/2014/main" id="{00000000-0008-0000-0800-00005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2854" name="Button 86" hidden="1">
              <a:extLst>
                <a:ext uri="{63B3BB69-23CF-44E3-9099-C40C66FF867C}">
                  <a14:compatExt spid="_x0000_s32854"/>
                </a:ext>
                <a:ext uri="{FF2B5EF4-FFF2-40B4-BE49-F238E27FC236}">
                  <a16:creationId xmlns:a16="http://schemas.microsoft.com/office/drawing/2014/main" id="{00000000-0008-0000-0800-00005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2855" name="Button 87" hidden="1">
              <a:extLst>
                <a:ext uri="{63B3BB69-23CF-44E3-9099-C40C66FF867C}">
                  <a14:compatExt spid="_x0000_s32855"/>
                </a:ext>
                <a:ext uri="{FF2B5EF4-FFF2-40B4-BE49-F238E27FC236}">
                  <a16:creationId xmlns:a16="http://schemas.microsoft.com/office/drawing/2014/main" id="{00000000-0008-0000-0800-00005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2856" name="Button 88" hidden="1">
              <a:extLst>
                <a:ext uri="{63B3BB69-23CF-44E3-9099-C40C66FF867C}">
                  <a14:compatExt spid="_x0000_s32856"/>
                </a:ext>
                <a:ext uri="{FF2B5EF4-FFF2-40B4-BE49-F238E27FC236}">
                  <a16:creationId xmlns:a16="http://schemas.microsoft.com/office/drawing/2014/main" id="{00000000-0008-0000-0800-00005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2857" name="Button 89" hidden="1">
              <a:extLst>
                <a:ext uri="{63B3BB69-23CF-44E3-9099-C40C66FF867C}">
                  <a14:compatExt spid="_x0000_s32857"/>
                </a:ext>
                <a:ext uri="{FF2B5EF4-FFF2-40B4-BE49-F238E27FC236}">
                  <a16:creationId xmlns:a16="http://schemas.microsoft.com/office/drawing/2014/main" id="{00000000-0008-0000-0800-00005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2858" name="Button 90" hidden="1">
              <a:extLst>
                <a:ext uri="{63B3BB69-23CF-44E3-9099-C40C66FF867C}">
                  <a14:compatExt spid="_x0000_s32858"/>
                </a:ext>
                <a:ext uri="{FF2B5EF4-FFF2-40B4-BE49-F238E27FC236}">
                  <a16:creationId xmlns:a16="http://schemas.microsoft.com/office/drawing/2014/main" id="{00000000-0008-0000-0800-00005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2859" name="Button 91" hidden="1">
              <a:extLst>
                <a:ext uri="{63B3BB69-23CF-44E3-9099-C40C66FF867C}">
                  <a14:compatExt spid="_x0000_s32859"/>
                </a:ext>
                <a:ext uri="{FF2B5EF4-FFF2-40B4-BE49-F238E27FC236}">
                  <a16:creationId xmlns:a16="http://schemas.microsoft.com/office/drawing/2014/main" id="{00000000-0008-0000-0800-00005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2860" name="Button 92" hidden="1">
              <a:extLst>
                <a:ext uri="{63B3BB69-23CF-44E3-9099-C40C66FF867C}">
                  <a14:compatExt spid="_x0000_s32860"/>
                </a:ext>
                <a:ext uri="{FF2B5EF4-FFF2-40B4-BE49-F238E27FC236}">
                  <a16:creationId xmlns:a16="http://schemas.microsoft.com/office/drawing/2014/main" id="{00000000-0008-0000-0800-00005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2861" name="Button 93" hidden="1">
              <a:extLst>
                <a:ext uri="{63B3BB69-23CF-44E3-9099-C40C66FF867C}">
                  <a14:compatExt spid="_x0000_s32861"/>
                </a:ext>
                <a:ext uri="{FF2B5EF4-FFF2-40B4-BE49-F238E27FC236}">
                  <a16:creationId xmlns:a16="http://schemas.microsoft.com/office/drawing/2014/main" id="{00000000-0008-0000-0800-00005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2862" name="Button 94" hidden="1">
              <a:extLst>
                <a:ext uri="{63B3BB69-23CF-44E3-9099-C40C66FF867C}">
                  <a14:compatExt spid="_x0000_s32862"/>
                </a:ext>
                <a:ext uri="{FF2B5EF4-FFF2-40B4-BE49-F238E27FC236}">
                  <a16:creationId xmlns:a16="http://schemas.microsoft.com/office/drawing/2014/main" id="{00000000-0008-0000-0800-00005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2863" name="Button 95" hidden="1">
              <a:extLst>
                <a:ext uri="{63B3BB69-23CF-44E3-9099-C40C66FF867C}">
                  <a14:compatExt spid="_x0000_s32863"/>
                </a:ext>
                <a:ext uri="{FF2B5EF4-FFF2-40B4-BE49-F238E27FC236}">
                  <a16:creationId xmlns:a16="http://schemas.microsoft.com/office/drawing/2014/main" id="{00000000-0008-0000-0800-00005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2864" name="Button 96" hidden="1">
              <a:extLst>
                <a:ext uri="{63B3BB69-23CF-44E3-9099-C40C66FF867C}">
                  <a14:compatExt spid="_x0000_s32864"/>
                </a:ext>
                <a:ext uri="{FF2B5EF4-FFF2-40B4-BE49-F238E27FC236}">
                  <a16:creationId xmlns:a16="http://schemas.microsoft.com/office/drawing/2014/main" id="{00000000-0008-0000-0800-00006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2865" name="Button 97" hidden="1">
              <a:extLst>
                <a:ext uri="{63B3BB69-23CF-44E3-9099-C40C66FF867C}">
                  <a14:compatExt spid="_x0000_s32865"/>
                </a:ext>
                <a:ext uri="{FF2B5EF4-FFF2-40B4-BE49-F238E27FC236}">
                  <a16:creationId xmlns:a16="http://schemas.microsoft.com/office/drawing/2014/main" id="{00000000-0008-0000-0800-00006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2866" name="Button 98" hidden="1">
              <a:extLst>
                <a:ext uri="{63B3BB69-23CF-44E3-9099-C40C66FF867C}">
                  <a14:compatExt spid="_x0000_s32866"/>
                </a:ext>
                <a:ext uri="{FF2B5EF4-FFF2-40B4-BE49-F238E27FC236}">
                  <a16:creationId xmlns:a16="http://schemas.microsoft.com/office/drawing/2014/main" id="{00000000-0008-0000-0800-00006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2867" name="Button 99" hidden="1">
              <a:extLst>
                <a:ext uri="{63B3BB69-23CF-44E3-9099-C40C66FF867C}">
                  <a14:compatExt spid="_x0000_s32867"/>
                </a:ext>
                <a:ext uri="{FF2B5EF4-FFF2-40B4-BE49-F238E27FC236}">
                  <a16:creationId xmlns:a16="http://schemas.microsoft.com/office/drawing/2014/main" id="{00000000-0008-0000-0800-00006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2868" name="Button 100" hidden="1">
              <a:extLst>
                <a:ext uri="{63B3BB69-23CF-44E3-9099-C40C66FF867C}">
                  <a14:compatExt spid="_x0000_s32868"/>
                </a:ext>
                <a:ext uri="{FF2B5EF4-FFF2-40B4-BE49-F238E27FC236}">
                  <a16:creationId xmlns:a16="http://schemas.microsoft.com/office/drawing/2014/main" id="{00000000-0008-0000-0800-00006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2869" name="Button 101" hidden="1">
              <a:extLst>
                <a:ext uri="{63B3BB69-23CF-44E3-9099-C40C66FF867C}">
                  <a14:compatExt spid="_x0000_s32869"/>
                </a:ext>
                <a:ext uri="{FF2B5EF4-FFF2-40B4-BE49-F238E27FC236}">
                  <a16:creationId xmlns:a16="http://schemas.microsoft.com/office/drawing/2014/main" id="{00000000-0008-0000-0800-00006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2870" name="Button 102" hidden="1">
              <a:extLst>
                <a:ext uri="{63B3BB69-23CF-44E3-9099-C40C66FF867C}">
                  <a14:compatExt spid="_x0000_s32870"/>
                </a:ext>
                <a:ext uri="{FF2B5EF4-FFF2-40B4-BE49-F238E27FC236}">
                  <a16:creationId xmlns:a16="http://schemas.microsoft.com/office/drawing/2014/main" id="{00000000-0008-0000-0800-00006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2871" name="Button 103" hidden="1">
              <a:extLst>
                <a:ext uri="{63B3BB69-23CF-44E3-9099-C40C66FF867C}">
                  <a14:compatExt spid="_x0000_s32871"/>
                </a:ext>
                <a:ext uri="{FF2B5EF4-FFF2-40B4-BE49-F238E27FC236}">
                  <a16:creationId xmlns:a16="http://schemas.microsoft.com/office/drawing/2014/main" id="{00000000-0008-0000-0800-00006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2872" name="Button 104" hidden="1">
              <a:extLst>
                <a:ext uri="{63B3BB69-23CF-44E3-9099-C40C66FF867C}">
                  <a14:compatExt spid="_x0000_s32872"/>
                </a:ext>
                <a:ext uri="{FF2B5EF4-FFF2-40B4-BE49-F238E27FC236}">
                  <a16:creationId xmlns:a16="http://schemas.microsoft.com/office/drawing/2014/main" id="{00000000-0008-0000-0800-00006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2873" name="Button 105" hidden="1">
              <a:extLst>
                <a:ext uri="{63B3BB69-23CF-44E3-9099-C40C66FF867C}">
                  <a14:compatExt spid="_x0000_s32873"/>
                </a:ext>
                <a:ext uri="{FF2B5EF4-FFF2-40B4-BE49-F238E27FC236}">
                  <a16:creationId xmlns:a16="http://schemas.microsoft.com/office/drawing/2014/main" id="{00000000-0008-0000-0800-00006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2874" name="Button 106" hidden="1">
              <a:extLst>
                <a:ext uri="{63B3BB69-23CF-44E3-9099-C40C66FF867C}">
                  <a14:compatExt spid="_x0000_s32874"/>
                </a:ext>
                <a:ext uri="{FF2B5EF4-FFF2-40B4-BE49-F238E27FC236}">
                  <a16:creationId xmlns:a16="http://schemas.microsoft.com/office/drawing/2014/main" id="{00000000-0008-0000-0800-00006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2875" name="Button 107" hidden="1">
              <a:extLst>
                <a:ext uri="{63B3BB69-23CF-44E3-9099-C40C66FF867C}">
                  <a14:compatExt spid="_x0000_s32875"/>
                </a:ext>
                <a:ext uri="{FF2B5EF4-FFF2-40B4-BE49-F238E27FC236}">
                  <a16:creationId xmlns:a16="http://schemas.microsoft.com/office/drawing/2014/main" id="{00000000-0008-0000-0800-00006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2876" name="Button 108" hidden="1">
              <a:extLst>
                <a:ext uri="{63B3BB69-23CF-44E3-9099-C40C66FF867C}">
                  <a14:compatExt spid="_x0000_s32876"/>
                </a:ext>
                <a:ext uri="{FF2B5EF4-FFF2-40B4-BE49-F238E27FC236}">
                  <a16:creationId xmlns:a16="http://schemas.microsoft.com/office/drawing/2014/main" id="{00000000-0008-0000-0800-00006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2877" name="Button 109" hidden="1">
              <a:extLst>
                <a:ext uri="{63B3BB69-23CF-44E3-9099-C40C66FF867C}">
                  <a14:compatExt spid="_x0000_s32877"/>
                </a:ext>
                <a:ext uri="{FF2B5EF4-FFF2-40B4-BE49-F238E27FC236}">
                  <a16:creationId xmlns:a16="http://schemas.microsoft.com/office/drawing/2014/main" id="{00000000-0008-0000-0800-00006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2878" name="Button 110" hidden="1">
              <a:extLst>
                <a:ext uri="{63B3BB69-23CF-44E3-9099-C40C66FF867C}">
                  <a14:compatExt spid="_x0000_s32878"/>
                </a:ext>
                <a:ext uri="{FF2B5EF4-FFF2-40B4-BE49-F238E27FC236}">
                  <a16:creationId xmlns:a16="http://schemas.microsoft.com/office/drawing/2014/main" id="{00000000-0008-0000-0800-00006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2879" name="Button 111" hidden="1">
              <a:extLst>
                <a:ext uri="{63B3BB69-23CF-44E3-9099-C40C66FF867C}">
                  <a14:compatExt spid="_x0000_s32879"/>
                </a:ext>
                <a:ext uri="{FF2B5EF4-FFF2-40B4-BE49-F238E27FC236}">
                  <a16:creationId xmlns:a16="http://schemas.microsoft.com/office/drawing/2014/main" id="{00000000-0008-0000-0800-00006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2880" name="Button 112" hidden="1">
              <a:extLst>
                <a:ext uri="{63B3BB69-23CF-44E3-9099-C40C66FF867C}">
                  <a14:compatExt spid="_x0000_s32880"/>
                </a:ext>
                <a:ext uri="{FF2B5EF4-FFF2-40B4-BE49-F238E27FC236}">
                  <a16:creationId xmlns:a16="http://schemas.microsoft.com/office/drawing/2014/main" id="{00000000-0008-0000-0800-00007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2881" name="Button 113" hidden="1">
              <a:extLst>
                <a:ext uri="{63B3BB69-23CF-44E3-9099-C40C66FF867C}">
                  <a14:compatExt spid="_x0000_s32881"/>
                </a:ext>
                <a:ext uri="{FF2B5EF4-FFF2-40B4-BE49-F238E27FC236}">
                  <a16:creationId xmlns:a16="http://schemas.microsoft.com/office/drawing/2014/main" id="{00000000-0008-0000-0800-00007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2882" name="Button 114" hidden="1">
              <a:extLst>
                <a:ext uri="{63B3BB69-23CF-44E3-9099-C40C66FF867C}">
                  <a14:compatExt spid="_x0000_s32882"/>
                </a:ext>
                <a:ext uri="{FF2B5EF4-FFF2-40B4-BE49-F238E27FC236}">
                  <a16:creationId xmlns:a16="http://schemas.microsoft.com/office/drawing/2014/main" id="{00000000-0008-0000-0800-00007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2883" name="Button 115" hidden="1">
              <a:extLst>
                <a:ext uri="{63B3BB69-23CF-44E3-9099-C40C66FF867C}">
                  <a14:compatExt spid="_x0000_s32883"/>
                </a:ext>
                <a:ext uri="{FF2B5EF4-FFF2-40B4-BE49-F238E27FC236}">
                  <a16:creationId xmlns:a16="http://schemas.microsoft.com/office/drawing/2014/main" id="{00000000-0008-0000-0800-00007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2884" name="Button 116" hidden="1">
              <a:extLst>
                <a:ext uri="{63B3BB69-23CF-44E3-9099-C40C66FF867C}">
                  <a14:compatExt spid="_x0000_s32884"/>
                </a:ext>
                <a:ext uri="{FF2B5EF4-FFF2-40B4-BE49-F238E27FC236}">
                  <a16:creationId xmlns:a16="http://schemas.microsoft.com/office/drawing/2014/main" id="{00000000-0008-0000-0800-00007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2885" name="Button 117" hidden="1">
              <a:extLst>
                <a:ext uri="{63B3BB69-23CF-44E3-9099-C40C66FF867C}">
                  <a14:compatExt spid="_x0000_s32885"/>
                </a:ext>
                <a:ext uri="{FF2B5EF4-FFF2-40B4-BE49-F238E27FC236}">
                  <a16:creationId xmlns:a16="http://schemas.microsoft.com/office/drawing/2014/main" id="{00000000-0008-0000-0800-00007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2886" name="Button 118" hidden="1">
              <a:extLst>
                <a:ext uri="{63B3BB69-23CF-44E3-9099-C40C66FF867C}">
                  <a14:compatExt spid="_x0000_s32886"/>
                </a:ext>
                <a:ext uri="{FF2B5EF4-FFF2-40B4-BE49-F238E27FC236}">
                  <a16:creationId xmlns:a16="http://schemas.microsoft.com/office/drawing/2014/main" id="{00000000-0008-0000-0800-00007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2887" name="Button 119" hidden="1">
              <a:extLst>
                <a:ext uri="{63B3BB69-23CF-44E3-9099-C40C66FF867C}">
                  <a14:compatExt spid="_x0000_s32887"/>
                </a:ext>
                <a:ext uri="{FF2B5EF4-FFF2-40B4-BE49-F238E27FC236}">
                  <a16:creationId xmlns:a16="http://schemas.microsoft.com/office/drawing/2014/main" id="{00000000-0008-0000-0800-00007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2888" name="Button 120" hidden="1">
              <a:extLst>
                <a:ext uri="{63B3BB69-23CF-44E3-9099-C40C66FF867C}">
                  <a14:compatExt spid="_x0000_s32888"/>
                </a:ext>
                <a:ext uri="{FF2B5EF4-FFF2-40B4-BE49-F238E27FC236}">
                  <a16:creationId xmlns:a16="http://schemas.microsoft.com/office/drawing/2014/main" id="{00000000-0008-0000-0800-00007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2889" name="Button 121" hidden="1">
              <a:extLst>
                <a:ext uri="{63B3BB69-23CF-44E3-9099-C40C66FF867C}">
                  <a14:compatExt spid="_x0000_s32889"/>
                </a:ext>
                <a:ext uri="{FF2B5EF4-FFF2-40B4-BE49-F238E27FC236}">
                  <a16:creationId xmlns:a16="http://schemas.microsoft.com/office/drawing/2014/main" id="{00000000-0008-0000-0800-00007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2890" name="Button 122" hidden="1">
              <a:extLst>
                <a:ext uri="{63B3BB69-23CF-44E3-9099-C40C66FF867C}">
                  <a14:compatExt spid="_x0000_s32890"/>
                </a:ext>
                <a:ext uri="{FF2B5EF4-FFF2-40B4-BE49-F238E27FC236}">
                  <a16:creationId xmlns:a16="http://schemas.microsoft.com/office/drawing/2014/main" id="{00000000-0008-0000-0800-00007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2891" name="Button 123" hidden="1">
              <a:extLst>
                <a:ext uri="{63B3BB69-23CF-44E3-9099-C40C66FF867C}">
                  <a14:compatExt spid="_x0000_s32891"/>
                </a:ext>
                <a:ext uri="{FF2B5EF4-FFF2-40B4-BE49-F238E27FC236}">
                  <a16:creationId xmlns:a16="http://schemas.microsoft.com/office/drawing/2014/main" id="{00000000-0008-0000-0800-00007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2892" name="Button 124" hidden="1">
              <a:extLst>
                <a:ext uri="{63B3BB69-23CF-44E3-9099-C40C66FF867C}">
                  <a14:compatExt spid="_x0000_s32892"/>
                </a:ext>
                <a:ext uri="{FF2B5EF4-FFF2-40B4-BE49-F238E27FC236}">
                  <a16:creationId xmlns:a16="http://schemas.microsoft.com/office/drawing/2014/main" id="{00000000-0008-0000-0800-00007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2893" name="Button 125" hidden="1">
              <a:extLst>
                <a:ext uri="{63B3BB69-23CF-44E3-9099-C40C66FF867C}">
                  <a14:compatExt spid="_x0000_s32893"/>
                </a:ext>
                <a:ext uri="{FF2B5EF4-FFF2-40B4-BE49-F238E27FC236}">
                  <a16:creationId xmlns:a16="http://schemas.microsoft.com/office/drawing/2014/main" id="{00000000-0008-0000-0800-00007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2894" name="Button 126" hidden="1">
              <a:extLst>
                <a:ext uri="{63B3BB69-23CF-44E3-9099-C40C66FF867C}">
                  <a14:compatExt spid="_x0000_s32894"/>
                </a:ext>
                <a:ext uri="{FF2B5EF4-FFF2-40B4-BE49-F238E27FC236}">
                  <a16:creationId xmlns:a16="http://schemas.microsoft.com/office/drawing/2014/main" id="{00000000-0008-0000-0800-00007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2895" name="Button 127" hidden="1">
              <a:extLst>
                <a:ext uri="{63B3BB69-23CF-44E3-9099-C40C66FF867C}">
                  <a14:compatExt spid="_x0000_s32895"/>
                </a:ext>
                <a:ext uri="{FF2B5EF4-FFF2-40B4-BE49-F238E27FC236}">
                  <a16:creationId xmlns:a16="http://schemas.microsoft.com/office/drawing/2014/main" id="{00000000-0008-0000-0800-00007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2896" name="Button 128" hidden="1">
              <a:extLst>
                <a:ext uri="{63B3BB69-23CF-44E3-9099-C40C66FF867C}">
                  <a14:compatExt spid="_x0000_s32896"/>
                </a:ext>
                <a:ext uri="{FF2B5EF4-FFF2-40B4-BE49-F238E27FC236}">
                  <a16:creationId xmlns:a16="http://schemas.microsoft.com/office/drawing/2014/main" id="{00000000-0008-0000-0800-00008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2897" name="Button 129" hidden="1">
              <a:extLst>
                <a:ext uri="{63B3BB69-23CF-44E3-9099-C40C66FF867C}">
                  <a14:compatExt spid="_x0000_s32897"/>
                </a:ext>
                <a:ext uri="{FF2B5EF4-FFF2-40B4-BE49-F238E27FC236}">
                  <a16:creationId xmlns:a16="http://schemas.microsoft.com/office/drawing/2014/main" id="{00000000-0008-0000-0800-00008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2898" name="Button 130" hidden="1">
              <a:extLst>
                <a:ext uri="{63B3BB69-23CF-44E3-9099-C40C66FF867C}">
                  <a14:compatExt spid="_x0000_s32898"/>
                </a:ext>
                <a:ext uri="{FF2B5EF4-FFF2-40B4-BE49-F238E27FC236}">
                  <a16:creationId xmlns:a16="http://schemas.microsoft.com/office/drawing/2014/main" id="{00000000-0008-0000-0800-00008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2899" name="Button 131" hidden="1">
              <a:extLst>
                <a:ext uri="{63B3BB69-23CF-44E3-9099-C40C66FF867C}">
                  <a14:compatExt spid="_x0000_s32899"/>
                </a:ext>
                <a:ext uri="{FF2B5EF4-FFF2-40B4-BE49-F238E27FC236}">
                  <a16:creationId xmlns:a16="http://schemas.microsoft.com/office/drawing/2014/main" id="{00000000-0008-0000-0800-00008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2900" name="Button 132" hidden="1">
              <a:extLst>
                <a:ext uri="{63B3BB69-23CF-44E3-9099-C40C66FF867C}">
                  <a14:compatExt spid="_x0000_s32900"/>
                </a:ext>
                <a:ext uri="{FF2B5EF4-FFF2-40B4-BE49-F238E27FC236}">
                  <a16:creationId xmlns:a16="http://schemas.microsoft.com/office/drawing/2014/main" id="{00000000-0008-0000-0800-00008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2901" name="Button 133" hidden="1">
              <a:extLst>
                <a:ext uri="{63B3BB69-23CF-44E3-9099-C40C66FF867C}">
                  <a14:compatExt spid="_x0000_s32901"/>
                </a:ext>
                <a:ext uri="{FF2B5EF4-FFF2-40B4-BE49-F238E27FC236}">
                  <a16:creationId xmlns:a16="http://schemas.microsoft.com/office/drawing/2014/main" id="{00000000-0008-0000-0800-00008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2902" name="Button 134" hidden="1">
              <a:extLst>
                <a:ext uri="{63B3BB69-23CF-44E3-9099-C40C66FF867C}">
                  <a14:compatExt spid="_x0000_s32902"/>
                </a:ext>
                <a:ext uri="{FF2B5EF4-FFF2-40B4-BE49-F238E27FC236}">
                  <a16:creationId xmlns:a16="http://schemas.microsoft.com/office/drawing/2014/main" id="{00000000-0008-0000-0800-00008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2903" name="Button 135" hidden="1">
              <a:extLst>
                <a:ext uri="{63B3BB69-23CF-44E3-9099-C40C66FF867C}">
                  <a14:compatExt spid="_x0000_s32903"/>
                </a:ext>
                <a:ext uri="{FF2B5EF4-FFF2-40B4-BE49-F238E27FC236}">
                  <a16:creationId xmlns:a16="http://schemas.microsoft.com/office/drawing/2014/main" id="{00000000-0008-0000-0800-00008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2904" name="Button 136" hidden="1">
              <a:extLst>
                <a:ext uri="{63B3BB69-23CF-44E3-9099-C40C66FF867C}">
                  <a14:compatExt spid="_x0000_s32904"/>
                </a:ext>
                <a:ext uri="{FF2B5EF4-FFF2-40B4-BE49-F238E27FC236}">
                  <a16:creationId xmlns:a16="http://schemas.microsoft.com/office/drawing/2014/main" id="{00000000-0008-0000-0800-00008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2905" name="Button 137" hidden="1">
              <a:extLst>
                <a:ext uri="{63B3BB69-23CF-44E3-9099-C40C66FF867C}">
                  <a14:compatExt spid="_x0000_s32905"/>
                </a:ext>
                <a:ext uri="{FF2B5EF4-FFF2-40B4-BE49-F238E27FC236}">
                  <a16:creationId xmlns:a16="http://schemas.microsoft.com/office/drawing/2014/main" id="{00000000-0008-0000-0800-00008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2906" name="Button 138" hidden="1">
              <a:extLst>
                <a:ext uri="{63B3BB69-23CF-44E3-9099-C40C66FF867C}">
                  <a14:compatExt spid="_x0000_s32906"/>
                </a:ext>
                <a:ext uri="{FF2B5EF4-FFF2-40B4-BE49-F238E27FC236}">
                  <a16:creationId xmlns:a16="http://schemas.microsoft.com/office/drawing/2014/main" id="{00000000-0008-0000-0800-00008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2907" name="Button 139" hidden="1">
              <a:extLst>
                <a:ext uri="{63B3BB69-23CF-44E3-9099-C40C66FF867C}">
                  <a14:compatExt spid="_x0000_s32907"/>
                </a:ext>
                <a:ext uri="{FF2B5EF4-FFF2-40B4-BE49-F238E27FC236}">
                  <a16:creationId xmlns:a16="http://schemas.microsoft.com/office/drawing/2014/main" id="{00000000-0008-0000-0800-00008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2908" name="Button 140" hidden="1">
              <a:extLst>
                <a:ext uri="{63B3BB69-23CF-44E3-9099-C40C66FF867C}">
                  <a14:compatExt spid="_x0000_s32908"/>
                </a:ext>
                <a:ext uri="{FF2B5EF4-FFF2-40B4-BE49-F238E27FC236}">
                  <a16:creationId xmlns:a16="http://schemas.microsoft.com/office/drawing/2014/main" id="{00000000-0008-0000-0800-00008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9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9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9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9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4821" name="Button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9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4822" name="Button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9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4823" name="Button 7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09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4824" name="Button 8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09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4825" name="Button 9" hidden="1">
              <a:extLst>
                <a:ext uri="{63B3BB69-23CF-44E3-9099-C40C66FF867C}">
                  <a14:compatExt spid="_x0000_s34825"/>
                </a:ext>
                <a:ext uri="{FF2B5EF4-FFF2-40B4-BE49-F238E27FC236}">
                  <a16:creationId xmlns:a16="http://schemas.microsoft.com/office/drawing/2014/main" id="{00000000-0008-0000-0900-00000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4826" name="Button 10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:a16="http://schemas.microsoft.com/office/drawing/2014/main" id="{00000000-0008-0000-0900-00000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4827" name="Button 11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:a16="http://schemas.microsoft.com/office/drawing/2014/main" id="{00000000-0008-0000-0900-00000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4828" name="Button 12" hidden="1">
              <a:extLst>
                <a:ext uri="{63B3BB69-23CF-44E3-9099-C40C66FF867C}">
                  <a14:compatExt spid="_x0000_s34828"/>
                </a:ext>
                <a:ext uri="{FF2B5EF4-FFF2-40B4-BE49-F238E27FC236}">
                  <a16:creationId xmlns:a16="http://schemas.microsoft.com/office/drawing/2014/main" id="{00000000-0008-0000-0900-00000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4829" name="Button 13" hidden="1">
              <a:extLst>
                <a:ext uri="{63B3BB69-23CF-44E3-9099-C40C66FF867C}">
                  <a14:compatExt spid="_x0000_s34829"/>
                </a:ext>
                <a:ext uri="{FF2B5EF4-FFF2-40B4-BE49-F238E27FC236}">
                  <a16:creationId xmlns:a16="http://schemas.microsoft.com/office/drawing/2014/main" id="{00000000-0008-0000-0900-00000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4830" name="Button 14" hidden="1">
              <a:extLst>
                <a:ext uri="{63B3BB69-23CF-44E3-9099-C40C66FF867C}">
                  <a14:compatExt spid="_x0000_s34830"/>
                </a:ext>
                <a:ext uri="{FF2B5EF4-FFF2-40B4-BE49-F238E27FC236}">
                  <a16:creationId xmlns:a16="http://schemas.microsoft.com/office/drawing/2014/main" id="{00000000-0008-0000-0900-00000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4831" name="Button 15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:a16="http://schemas.microsoft.com/office/drawing/2014/main" id="{00000000-0008-0000-0900-00000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4832" name="Button 16" hidden="1">
              <a:extLst>
                <a:ext uri="{63B3BB69-23CF-44E3-9099-C40C66FF867C}">
                  <a14:compatExt spid="_x0000_s34832"/>
                </a:ext>
                <a:ext uri="{FF2B5EF4-FFF2-40B4-BE49-F238E27FC236}">
                  <a16:creationId xmlns:a16="http://schemas.microsoft.com/office/drawing/2014/main" id="{00000000-0008-0000-0900-00001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4833" name="Button 17" hidden="1">
              <a:extLst>
                <a:ext uri="{63B3BB69-23CF-44E3-9099-C40C66FF867C}">
                  <a14:compatExt spid="_x0000_s34833"/>
                </a:ext>
                <a:ext uri="{FF2B5EF4-FFF2-40B4-BE49-F238E27FC236}">
                  <a16:creationId xmlns:a16="http://schemas.microsoft.com/office/drawing/2014/main" id="{00000000-0008-0000-0900-00001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4834" name="Button 18" hidden="1">
              <a:extLst>
                <a:ext uri="{63B3BB69-23CF-44E3-9099-C40C66FF867C}">
                  <a14:compatExt spid="_x0000_s34834"/>
                </a:ext>
                <a:ext uri="{FF2B5EF4-FFF2-40B4-BE49-F238E27FC236}">
                  <a16:creationId xmlns:a16="http://schemas.microsoft.com/office/drawing/2014/main" id="{00000000-0008-0000-0900-00001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4835" name="Button 19" hidden="1">
              <a:extLst>
                <a:ext uri="{63B3BB69-23CF-44E3-9099-C40C66FF867C}">
                  <a14:compatExt spid="_x0000_s34835"/>
                </a:ext>
                <a:ext uri="{FF2B5EF4-FFF2-40B4-BE49-F238E27FC236}">
                  <a16:creationId xmlns:a16="http://schemas.microsoft.com/office/drawing/2014/main" id="{00000000-0008-0000-0900-00001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4836" name="Button 20" hidden="1">
              <a:extLst>
                <a:ext uri="{63B3BB69-23CF-44E3-9099-C40C66FF867C}">
                  <a14:compatExt spid="_x0000_s34836"/>
                </a:ext>
                <a:ext uri="{FF2B5EF4-FFF2-40B4-BE49-F238E27FC236}">
                  <a16:creationId xmlns:a16="http://schemas.microsoft.com/office/drawing/2014/main" id="{00000000-0008-0000-0900-00001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4837" name="Button 21" hidden="1">
              <a:extLst>
                <a:ext uri="{63B3BB69-23CF-44E3-9099-C40C66FF867C}">
                  <a14:compatExt spid="_x0000_s34837"/>
                </a:ext>
                <a:ext uri="{FF2B5EF4-FFF2-40B4-BE49-F238E27FC236}">
                  <a16:creationId xmlns:a16="http://schemas.microsoft.com/office/drawing/2014/main" id="{00000000-0008-0000-0900-00001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4838" name="Button 22" hidden="1">
              <a:extLst>
                <a:ext uri="{63B3BB69-23CF-44E3-9099-C40C66FF867C}">
                  <a14:compatExt spid="_x0000_s34838"/>
                </a:ext>
                <a:ext uri="{FF2B5EF4-FFF2-40B4-BE49-F238E27FC236}">
                  <a16:creationId xmlns:a16="http://schemas.microsoft.com/office/drawing/2014/main" id="{00000000-0008-0000-0900-00001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4839" name="Button 23" hidden="1">
              <a:extLst>
                <a:ext uri="{63B3BB69-23CF-44E3-9099-C40C66FF867C}">
                  <a14:compatExt spid="_x0000_s34839"/>
                </a:ext>
                <a:ext uri="{FF2B5EF4-FFF2-40B4-BE49-F238E27FC236}">
                  <a16:creationId xmlns:a16="http://schemas.microsoft.com/office/drawing/2014/main" id="{00000000-0008-0000-0900-00001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4840" name="Button 24" hidden="1">
              <a:extLst>
                <a:ext uri="{63B3BB69-23CF-44E3-9099-C40C66FF867C}">
                  <a14:compatExt spid="_x0000_s34840"/>
                </a:ext>
                <a:ext uri="{FF2B5EF4-FFF2-40B4-BE49-F238E27FC236}">
                  <a16:creationId xmlns:a16="http://schemas.microsoft.com/office/drawing/2014/main" id="{00000000-0008-0000-0900-00001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4841" name="Button 25" hidden="1">
              <a:extLst>
                <a:ext uri="{63B3BB69-23CF-44E3-9099-C40C66FF867C}">
                  <a14:compatExt spid="_x0000_s34841"/>
                </a:ext>
                <a:ext uri="{FF2B5EF4-FFF2-40B4-BE49-F238E27FC236}">
                  <a16:creationId xmlns:a16="http://schemas.microsoft.com/office/drawing/2014/main" id="{00000000-0008-0000-0900-00001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4842" name="Button 26" hidden="1">
              <a:extLst>
                <a:ext uri="{63B3BB69-23CF-44E3-9099-C40C66FF867C}">
                  <a14:compatExt spid="_x0000_s34842"/>
                </a:ext>
                <a:ext uri="{FF2B5EF4-FFF2-40B4-BE49-F238E27FC236}">
                  <a16:creationId xmlns:a16="http://schemas.microsoft.com/office/drawing/2014/main" id="{00000000-0008-0000-0900-00001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4843" name="Button 27" hidden="1">
              <a:extLst>
                <a:ext uri="{63B3BB69-23CF-44E3-9099-C40C66FF867C}">
                  <a14:compatExt spid="_x0000_s34843"/>
                </a:ext>
                <a:ext uri="{FF2B5EF4-FFF2-40B4-BE49-F238E27FC236}">
                  <a16:creationId xmlns:a16="http://schemas.microsoft.com/office/drawing/2014/main" id="{00000000-0008-0000-0900-00001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4844" name="Button 28" hidden="1">
              <a:extLst>
                <a:ext uri="{63B3BB69-23CF-44E3-9099-C40C66FF867C}">
                  <a14:compatExt spid="_x0000_s34844"/>
                </a:ext>
                <a:ext uri="{FF2B5EF4-FFF2-40B4-BE49-F238E27FC236}">
                  <a16:creationId xmlns:a16="http://schemas.microsoft.com/office/drawing/2014/main" id="{00000000-0008-0000-0900-00001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4845" name="Button 29" hidden="1">
              <a:extLst>
                <a:ext uri="{63B3BB69-23CF-44E3-9099-C40C66FF867C}">
                  <a14:compatExt spid="_x0000_s34845"/>
                </a:ext>
                <a:ext uri="{FF2B5EF4-FFF2-40B4-BE49-F238E27FC236}">
                  <a16:creationId xmlns:a16="http://schemas.microsoft.com/office/drawing/2014/main" id="{00000000-0008-0000-0900-00001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4846" name="Button 30" hidden="1">
              <a:extLst>
                <a:ext uri="{63B3BB69-23CF-44E3-9099-C40C66FF867C}">
                  <a14:compatExt spid="_x0000_s34846"/>
                </a:ext>
                <a:ext uri="{FF2B5EF4-FFF2-40B4-BE49-F238E27FC236}">
                  <a16:creationId xmlns:a16="http://schemas.microsoft.com/office/drawing/2014/main" id="{00000000-0008-0000-0900-00001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4847" name="Button 31" hidden="1">
              <a:extLst>
                <a:ext uri="{63B3BB69-23CF-44E3-9099-C40C66FF867C}">
                  <a14:compatExt spid="_x0000_s34847"/>
                </a:ext>
                <a:ext uri="{FF2B5EF4-FFF2-40B4-BE49-F238E27FC236}">
                  <a16:creationId xmlns:a16="http://schemas.microsoft.com/office/drawing/2014/main" id="{00000000-0008-0000-0900-00001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4848" name="Button 32" hidden="1">
              <a:extLst>
                <a:ext uri="{63B3BB69-23CF-44E3-9099-C40C66FF867C}">
                  <a14:compatExt spid="_x0000_s34848"/>
                </a:ext>
                <a:ext uri="{FF2B5EF4-FFF2-40B4-BE49-F238E27FC236}">
                  <a16:creationId xmlns:a16="http://schemas.microsoft.com/office/drawing/2014/main" id="{00000000-0008-0000-0900-00002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4849" name="Button 33" hidden="1">
              <a:extLst>
                <a:ext uri="{63B3BB69-23CF-44E3-9099-C40C66FF867C}">
                  <a14:compatExt spid="_x0000_s34849"/>
                </a:ext>
                <a:ext uri="{FF2B5EF4-FFF2-40B4-BE49-F238E27FC236}">
                  <a16:creationId xmlns:a16="http://schemas.microsoft.com/office/drawing/2014/main" id="{00000000-0008-0000-0900-00002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4850" name="Button 34" hidden="1">
              <a:extLst>
                <a:ext uri="{63B3BB69-23CF-44E3-9099-C40C66FF867C}">
                  <a14:compatExt spid="_x0000_s34850"/>
                </a:ext>
                <a:ext uri="{FF2B5EF4-FFF2-40B4-BE49-F238E27FC236}">
                  <a16:creationId xmlns:a16="http://schemas.microsoft.com/office/drawing/2014/main" id="{00000000-0008-0000-0900-00002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4851" name="Button 35" hidden="1">
              <a:extLst>
                <a:ext uri="{63B3BB69-23CF-44E3-9099-C40C66FF867C}">
                  <a14:compatExt spid="_x0000_s34851"/>
                </a:ext>
                <a:ext uri="{FF2B5EF4-FFF2-40B4-BE49-F238E27FC236}">
                  <a16:creationId xmlns:a16="http://schemas.microsoft.com/office/drawing/2014/main" id="{00000000-0008-0000-0900-00002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4852" name="Button 36" hidden="1">
              <a:extLst>
                <a:ext uri="{63B3BB69-23CF-44E3-9099-C40C66FF867C}">
                  <a14:compatExt spid="_x0000_s34852"/>
                </a:ext>
                <a:ext uri="{FF2B5EF4-FFF2-40B4-BE49-F238E27FC236}">
                  <a16:creationId xmlns:a16="http://schemas.microsoft.com/office/drawing/2014/main" id="{00000000-0008-0000-0900-00002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4853" name="Button 37" hidden="1">
              <a:extLst>
                <a:ext uri="{63B3BB69-23CF-44E3-9099-C40C66FF867C}">
                  <a14:compatExt spid="_x0000_s34853"/>
                </a:ext>
                <a:ext uri="{FF2B5EF4-FFF2-40B4-BE49-F238E27FC236}">
                  <a16:creationId xmlns:a16="http://schemas.microsoft.com/office/drawing/2014/main" id="{00000000-0008-0000-0900-00002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4854" name="Button 38" hidden="1">
              <a:extLst>
                <a:ext uri="{63B3BB69-23CF-44E3-9099-C40C66FF867C}">
                  <a14:compatExt spid="_x0000_s34854"/>
                </a:ext>
                <a:ext uri="{FF2B5EF4-FFF2-40B4-BE49-F238E27FC236}">
                  <a16:creationId xmlns:a16="http://schemas.microsoft.com/office/drawing/2014/main" id="{00000000-0008-0000-0900-00002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4855" name="Button 39" hidden="1">
              <a:extLst>
                <a:ext uri="{63B3BB69-23CF-44E3-9099-C40C66FF867C}">
                  <a14:compatExt spid="_x0000_s34855"/>
                </a:ext>
                <a:ext uri="{FF2B5EF4-FFF2-40B4-BE49-F238E27FC236}">
                  <a16:creationId xmlns:a16="http://schemas.microsoft.com/office/drawing/2014/main" id="{00000000-0008-0000-0900-00002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4856" name="Button 40" hidden="1">
              <a:extLst>
                <a:ext uri="{63B3BB69-23CF-44E3-9099-C40C66FF867C}">
                  <a14:compatExt spid="_x0000_s34856"/>
                </a:ext>
                <a:ext uri="{FF2B5EF4-FFF2-40B4-BE49-F238E27FC236}">
                  <a16:creationId xmlns:a16="http://schemas.microsoft.com/office/drawing/2014/main" id="{00000000-0008-0000-0900-00002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4857" name="Button 41" hidden="1">
              <a:extLst>
                <a:ext uri="{63B3BB69-23CF-44E3-9099-C40C66FF867C}">
                  <a14:compatExt spid="_x0000_s34857"/>
                </a:ext>
                <a:ext uri="{FF2B5EF4-FFF2-40B4-BE49-F238E27FC236}">
                  <a16:creationId xmlns:a16="http://schemas.microsoft.com/office/drawing/2014/main" id="{00000000-0008-0000-0900-00002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4858" name="Button 42" hidden="1">
              <a:extLst>
                <a:ext uri="{63B3BB69-23CF-44E3-9099-C40C66FF867C}">
                  <a14:compatExt spid="_x0000_s34858"/>
                </a:ext>
                <a:ext uri="{FF2B5EF4-FFF2-40B4-BE49-F238E27FC236}">
                  <a16:creationId xmlns:a16="http://schemas.microsoft.com/office/drawing/2014/main" id="{00000000-0008-0000-0900-00002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4859" name="Button 43" hidden="1">
              <a:extLst>
                <a:ext uri="{63B3BB69-23CF-44E3-9099-C40C66FF867C}">
                  <a14:compatExt spid="_x0000_s34859"/>
                </a:ext>
                <a:ext uri="{FF2B5EF4-FFF2-40B4-BE49-F238E27FC236}">
                  <a16:creationId xmlns:a16="http://schemas.microsoft.com/office/drawing/2014/main" id="{00000000-0008-0000-0900-00002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4860" name="Button 44" hidden="1">
              <a:extLst>
                <a:ext uri="{63B3BB69-23CF-44E3-9099-C40C66FF867C}">
                  <a14:compatExt spid="_x0000_s34860"/>
                </a:ext>
                <a:ext uri="{FF2B5EF4-FFF2-40B4-BE49-F238E27FC236}">
                  <a16:creationId xmlns:a16="http://schemas.microsoft.com/office/drawing/2014/main" id="{00000000-0008-0000-0900-00002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4861" name="Button 45" hidden="1">
              <a:extLst>
                <a:ext uri="{63B3BB69-23CF-44E3-9099-C40C66FF867C}">
                  <a14:compatExt spid="_x0000_s34861"/>
                </a:ext>
                <a:ext uri="{FF2B5EF4-FFF2-40B4-BE49-F238E27FC236}">
                  <a16:creationId xmlns:a16="http://schemas.microsoft.com/office/drawing/2014/main" id="{00000000-0008-0000-0900-00002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4862" name="Button 46" hidden="1">
              <a:extLst>
                <a:ext uri="{63B3BB69-23CF-44E3-9099-C40C66FF867C}">
                  <a14:compatExt spid="_x0000_s34862"/>
                </a:ext>
                <a:ext uri="{FF2B5EF4-FFF2-40B4-BE49-F238E27FC236}">
                  <a16:creationId xmlns:a16="http://schemas.microsoft.com/office/drawing/2014/main" id="{00000000-0008-0000-0900-00002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4863" name="Button 47" hidden="1">
              <a:extLst>
                <a:ext uri="{63B3BB69-23CF-44E3-9099-C40C66FF867C}">
                  <a14:compatExt spid="_x0000_s34863"/>
                </a:ext>
                <a:ext uri="{FF2B5EF4-FFF2-40B4-BE49-F238E27FC236}">
                  <a16:creationId xmlns:a16="http://schemas.microsoft.com/office/drawing/2014/main" id="{00000000-0008-0000-0900-00002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4864" name="Button 48" hidden="1">
              <a:extLst>
                <a:ext uri="{63B3BB69-23CF-44E3-9099-C40C66FF867C}">
                  <a14:compatExt spid="_x0000_s34864"/>
                </a:ext>
                <a:ext uri="{FF2B5EF4-FFF2-40B4-BE49-F238E27FC236}">
                  <a16:creationId xmlns:a16="http://schemas.microsoft.com/office/drawing/2014/main" id="{00000000-0008-0000-0900-00003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4865" name="Button 49" hidden="1">
              <a:extLst>
                <a:ext uri="{63B3BB69-23CF-44E3-9099-C40C66FF867C}">
                  <a14:compatExt spid="_x0000_s34865"/>
                </a:ext>
                <a:ext uri="{FF2B5EF4-FFF2-40B4-BE49-F238E27FC236}">
                  <a16:creationId xmlns:a16="http://schemas.microsoft.com/office/drawing/2014/main" id="{00000000-0008-0000-0900-00003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4866" name="Button 50" hidden="1">
              <a:extLst>
                <a:ext uri="{63B3BB69-23CF-44E3-9099-C40C66FF867C}">
                  <a14:compatExt spid="_x0000_s34866"/>
                </a:ext>
                <a:ext uri="{FF2B5EF4-FFF2-40B4-BE49-F238E27FC236}">
                  <a16:creationId xmlns:a16="http://schemas.microsoft.com/office/drawing/2014/main" id="{00000000-0008-0000-0900-00003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4867" name="Button 51" hidden="1">
              <a:extLst>
                <a:ext uri="{63B3BB69-23CF-44E3-9099-C40C66FF867C}">
                  <a14:compatExt spid="_x0000_s34867"/>
                </a:ext>
                <a:ext uri="{FF2B5EF4-FFF2-40B4-BE49-F238E27FC236}">
                  <a16:creationId xmlns:a16="http://schemas.microsoft.com/office/drawing/2014/main" id="{00000000-0008-0000-0900-00003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4868" name="Button 52" hidden="1">
              <a:extLst>
                <a:ext uri="{63B3BB69-23CF-44E3-9099-C40C66FF867C}">
                  <a14:compatExt spid="_x0000_s34868"/>
                </a:ext>
                <a:ext uri="{FF2B5EF4-FFF2-40B4-BE49-F238E27FC236}">
                  <a16:creationId xmlns:a16="http://schemas.microsoft.com/office/drawing/2014/main" id="{00000000-0008-0000-0900-00003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4869" name="Button 53" hidden="1">
              <a:extLst>
                <a:ext uri="{63B3BB69-23CF-44E3-9099-C40C66FF867C}">
                  <a14:compatExt spid="_x0000_s34869"/>
                </a:ext>
                <a:ext uri="{FF2B5EF4-FFF2-40B4-BE49-F238E27FC236}">
                  <a16:creationId xmlns:a16="http://schemas.microsoft.com/office/drawing/2014/main" id="{00000000-0008-0000-0900-00003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4870" name="Button 54" hidden="1">
              <a:extLst>
                <a:ext uri="{63B3BB69-23CF-44E3-9099-C40C66FF867C}">
                  <a14:compatExt spid="_x0000_s34870"/>
                </a:ext>
                <a:ext uri="{FF2B5EF4-FFF2-40B4-BE49-F238E27FC236}">
                  <a16:creationId xmlns:a16="http://schemas.microsoft.com/office/drawing/2014/main" id="{00000000-0008-0000-0900-00003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4871" name="Button 55" hidden="1">
              <a:extLst>
                <a:ext uri="{63B3BB69-23CF-44E3-9099-C40C66FF867C}">
                  <a14:compatExt spid="_x0000_s34871"/>
                </a:ext>
                <a:ext uri="{FF2B5EF4-FFF2-40B4-BE49-F238E27FC236}">
                  <a16:creationId xmlns:a16="http://schemas.microsoft.com/office/drawing/2014/main" id="{00000000-0008-0000-0900-00003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4872" name="Button 56" hidden="1">
              <a:extLst>
                <a:ext uri="{63B3BB69-23CF-44E3-9099-C40C66FF867C}">
                  <a14:compatExt spid="_x0000_s34872"/>
                </a:ext>
                <a:ext uri="{FF2B5EF4-FFF2-40B4-BE49-F238E27FC236}">
                  <a16:creationId xmlns:a16="http://schemas.microsoft.com/office/drawing/2014/main" id="{00000000-0008-0000-0900-00003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4873" name="Button 57" hidden="1">
              <a:extLst>
                <a:ext uri="{63B3BB69-23CF-44E3-9099-C40C66FF867C}">
                  <a14:compatExt spid="_x0000_s34873"/>
                </a:ext>
                <a:ext uri="{FF2B5EF4-FFF2-40B4-BE49-F238E27FC236}">
                  <a16:creationId xmlns:a16="http://schemas.microsoft.com/office/drawing/2014/main" id="{00000000-0008-0000-0900-00003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4874" name="Button 58" hidden="1">
              <a:extLst>
                <a:ext uri="{63B3BB69-23CF-44E3-9099-C40C66FF867C}">
                  <a14:compatExt spid="_x0000_s34874"/>
                </a:ext>
                <a:ext uri="{FF2B5EF4-FFF2-40B4-BE49-F238E27FC236}">
                  <a16:creationId xmlns:a16="http://schemas.microsoft.com/office/drawing/2014/main" id="{00000000-0008-0000-0900-00003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4875" name="Button 59" hidden="1">
              <a:extLst>
                <a:ext uri="{63B3BB69-23CF-44E3-9099-C40C66FF867C}">
                  <a14:compatExt spid="_x0000_s34875"/>
                </a:ext>
                <a:ext uri="{FF2B5EF4-FFF2-40B4-BE49-F238E27FC236}">
                  <a16:creationId xmlns:a16="http://schemas.microsoft.com/office/drawing/2014/main" id="{00000000-0008-0000-0900-00003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4876" name="Button 60" hidden="1">
              <a:extLst>
                <a:ext uri="{63B3BB69-23CF-44E3-9099-C40C66FF867C}">
                  <a14:compatExt spid="_x0000_s34876"/>
                </a:ext>
                <a:ext uri="{FF2B5EF4-FFF2-40B4-BE49-F238E27FC236}">
                  <a16:creationId xmlns:a16="http://schemas.microsoft.com/office/drawing/2014/main" id="{00000000-0008-0000-0900-00003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4877" name="Button 61" hidden="1">
              <a:extLst>
                <a:ext uri="{63B3BB69-23CF-44E3-9099-C40C66FF867C}">
                  <a14:compatExt spid="_x0000_s34877"/>
                </a:ext>
                <a:ext uri="{FF2B5EF4-FFF2-40B4-BE49-F238E27FC236}">
                  <a16:creationId xmlns:a16="http://schemas.microsoft.com/office/drawing/2014/main" id="{00000000-0008-0000-0900-00003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4878" name="Button 62" hidden="1">
              <a:extLst>
                <a:ext uri="{63B3BB69-23CF-44E3-9099-C40C66FF867C}">
                  <a14:compatExt spid="_x0000_s34878"/>
                </a:ext>
                <a:ext uri="{FF2B5EF4-FFF2-40B4-BE49-F238E27FC236}">
                  <a16:creationId xmlns:a16="http://schemas.microsoft.com/office/drawing/2014/main" id="{00000000-0008-0000-0900-00003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4879" name="Button 63" hidden="1">
              <a:extLst>
                <a:ext uri="{63B3BB69-23CF-44E3-9099-C40C66FF867C}">
                  <a14:compatExt spid="_x0000_s34879"/>
                </a:ext>
                <a:ext uri="{FF2B5EF4-FFF2-40B4-BE49-F238E27FC236}">
                  <a16:creationId xmlns:a16="http://schemas.microsoft.com/office/drawing/2014/main" id="{00000000-0008-0000-0900-00003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4880" name="Button 64" hidden="1">
              <a:extLst>
                <a:ext uri="{63B3BB69-23CF-44E3-9099-C40C66FF867C}">
                  <a14:compatExt spid="_x0000_s34880"/>
                </a:ext>
                <a:ext uri="{FF2B5EF4-FFF2-40B4-BE49-F238E27FC236}">
                  <a16:creationId xmlns:a16="http://schemas.microsoft.com/office/drawing/2014/main" id="{00000000-0008-0000-0900-00004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4881" name="Button 65" hidden="1">
              <a:extLst>
                <a:ext uri="{63B3BB69-23CF-44E3-9099-C40C66FF867C}">
                  <a14:compatExt spid="_x0000_s34881"/>
                </a:ext>
                <a:ext uri="{FF2B5EF4-FFF2-40B4-BE49-F238E27FC236}">
                  <a16:creationId xmlns:a16="http://schemas.microsoft.com/office/drawing/2014/main" id="{00000000-0008-0000-0900-00004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4882" name="Button 66" hidden="1">
              <a:extLst>
                <a:ext uri="{63B3BB69-23CF-44E3-9099-C40C66FF867C}">
                  <a14:compatExt spid="_x0000_s34882"/>
                </a:ext>
                <a:ext uri="{FF2B5EF4-FFF2-40B4-BE49-F238E27FC236}">
                  <a16:creationId xmlns:a16="http://schemas.microsoft.com/office/drawing/2014/main" id="{00000000-0008-0000-0900-00004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4883" name="Button 67" hidden="1">
              <a:extLst>
                <a:ext uri="{63B3BB69-23CF-44E3-9099-C40C66FF867C}">
                  <a14:compatExt spid="_x0000_s34883"/>
                </a:ext>
                <a:ext uri="{FF2B5EF4-FFF2-40B4-BE49-F238E27FC236}">
                  <a16:creationId xmlns:a16="http://schemas.microsoft.com/office/drawing/2014/main" id="{00000000-0008-0000-0900-00004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4884" name="Button 68" hidden="1">
              <a:extLst>
                <a:ext uri="{63B3BB69-23CF-44E3-9099-C40C66FF867C}">
                  <a14:compatExt spid="_x0000_s34884"/>
                </a:ext>
                <a:ext uri="{FF2B5EF4-FFF2-40B4-BE49-F238E27FC236}">
                  <a16:creationId xmlns:a16="http://schemas.microsoft.com/office/drawing/2014/main" id="{00000000-0008-0000-0900-00004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4885" name="Button 69" hidden="1">
              <a:extLst>
                <a:ext uri="{63B3BB69-23CF-44E3-9099-C40C66FF867C}">
                  <a14:compatExt spid="_x0000_s34885"/>
                </a:ext>
                <a:ext uri="{FF2B5EF4-FFF2-40B4-BE49-F238E27FC236}">
                  <a16:creationId xmlns:a16="http://schemas.microsoft.com/office/drawing/2014/main" id="{00000000-0008-0000-0900-00004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4886" name="Button 70" hidden="1">
              <a:extLst>
                <a:ext uri="{63B3BB69-23CF-44E3-9099-C40C66FF867C}">
                  <a14:compatExt spid="_x0000_s34886"/>
                </a:ext>
                <a:ext uri="{FF2B5EF4-FFF2-40B4-BE49-F238E27FC236}">
                  <a16:creationId xmlns:a16="http://schemas.microsoft.com/office/drawing/2014/main" id="{00000000-0008-0000-0900-00004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4887" name="Button 71" hidden="1">
              <a:extLst>
                <a:ext uri="{63B3BB69-23CF-44E3-9099-C40C66FF867C}">
                  <a14:compatExt spid="_x0000_s34887"/>
                </a:ext>
                <a:ext uri="{FF2B5EF4-FFF2-40B4-BE49-F238E27FC236}">
                  <a16:creationId xmlns:a16="http://schemas.microsoft.com/office/drawing/2014/main" id="{00000000-0008-0000-0900-00004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4888" name="Button 72" hidden="1">
              <a:extLst>
                <a:ext uri="{63B3BB69-23CF-44E3-9099-C40C66FF867C}">
                  <a14:compatExt spid="_x0000_s34888"/>
                </a:ext>
                <a:ext uri="{FF2B5EF4-FFF2-40B4-BE49-F238E27FC236}">
                  <a16:creationId xmlns:a16="http://schemas.microsoft.com/office/drawing/2014/main" id="{00000000-0008-0000-0900-00004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4889" name="Button 73" hidden="1">
              <a:extLst>
                <a:ext uri="{63B3BB69-23CF-44E3-9099-C40C66FF867C}">
                  <a14:compatExt spid="_x0000_s34889"/>
                </a:ext>
                <a:ext uri="{FF2B5EF4-FFF2-40B4-BE49-F238E27FC236}">
                  <a16:creationId xmlns:a16="http://schemas.microsoft.com/office/drawing/2014/main" id="{00000000-0008-0000-0900-00004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4890" name="Button 74" hidden="1">
              <a:extLst>
                <a:ext uri="{63B3BB69-23CF-44E3-9099-C40C66FF867C}">
                  <a14:compatExt spid="_x0000_s34890"/>
                </a:ext>
                <a:ext uri="{FF2B5EF4-FFF2-40B4-BE49-F238E27FC236}">
                  <a16:creationId xmlns:a16="http://schemas.microsoft.com/office/drawing/2014/main" id="{00000000-0008-0000-0900-00004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4891" name="Button 75" hidden="1">
              <a:extLst>
                <a:ext uri="{63B3BB69-23CF-44E3-9099-C40C66FF867C}">
                  <a14:compatExt spid="_x0000_s34891"/>
                </a:ext>
                <a:ext uri="{FF2B5EF4-FFF2-40B4-BE49-F238E27FC236}">
                  <a16:creationId xmlns:a16="http://schemas.microsoft.com/office/drawing/2014/main" id="{00000000-0008-0000-0900-00004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4892" name="Button 76" hidden="1">
              <a:extLst>
                <a:ext uri="{63B3BB69-23CF-44E3-9099-C40C66FF867C}">
                  <a14:compatExt spid="_x0000_s34892"/>
                </a:ext>
                <a:ext uri="{FF2B5EF4-FFF2-40B4-BE49-F238E27FC236}">
                  <a16:creationId xmlns:a16="http://schemas.microsoft.com/office/drawing/2014/main" id="{00000000-0008-0000-0900-00004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4893" name="Button 77" hidden="1">
              <a:extLst>
                <a:ext uri="{63B3BB69-23CF-44E3-9099-C40C66FF867C}">
                  <a14:compatExt spid="_x0000_s34893"/>
                </a:ext>
                <a:ext uri="{FF2B5EF4-FFF2-40B4-BE49-F238E27FC236}">
                  <a16:creationId xmlns:a16="http://schemas.microsoft.com/office/drawing/2014/main" id="{00000000-0008-0000-0900-00004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4894" name="Button 78" hidden="1">
              <a:extLst>
                <a:ext uri="{63B3BB69-23CF-44E3-9099-C40C66FF867C}">
                  <a14:compatExt spid="_x0000_s34894"/>
                </a:ext>
                <a:ext uri="{FF2B5EF4-FFF2-40B4-BE49-F238E27FC236}">
                  <a16:creationId xmlns:a16="http://schemas.microsoft.com/office/drawing/2014/main" id="{00000000-0008-0000-0900-00004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4895" name="Button 79" hidden="1">
              <a:extLst>
                <a:ext uri="{63B3BB69-23CF-44E3-9099-C40C66FF867C}">
                  <a14:compatExt spid="_x0000_s34895"/>
                </a:ext>
                <a:ext uri="{FF2B5EF4-FFF2-40B4-BE49-F238E27FC236}">
                  <a16:creationId xmlns:a16="http://schemas.microsoft.com/office/drawing/2014/main" id="{00000000-0008-0000-0900-00004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4896" name="Button 80" hidden="1">
              <a:extLst>
                <a:ext uri="{63B3BB69-23CF-44E3-9099-C40C66FF867C}">
                  <a14:compatExt spid="_x0000_s34896"/>
                </a:ext>
                <a:ext uri="{FF2B5EF4-FFF2-40B4-BE49-F238E27FC236}">
                  <a16:creationId xmlns:a16="http://schemas.microsoft.com/office/drawing/2014/main" id="{00000000-0008-0000-0900-00005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4897" name="Button 81" hidden="1">
              <a:extLst>
                <a:ext uri="{63B3BB69-23CF-44E3-9099-C40C66FF867C}">
                  <a14:compatExt spid="_x0000_s34897"/>
                </a:ext>
                <a:ext uri="{FF2B5EF4-FFF2-40B4-BE49-F238E27FC236}">
                  <a16:creationId xmlns:a16="http://schemas.microsoft.com/office/drawing/2014/main" id="{00000000-0008-0000-0900-00005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4898" name="Button 82" hidden="1">
              <a:extLst>
                <a:ext uri="{63B3BB69-23CF-44E3-9099-C40C66FF867C}">
                  <a14:compatExt spid="_x0000_s34898"/>
                </a:ext>
                <a:ext uri="{FF2B5EF4-FFF2-40B4-BE49-F238E27FC236}">
                  <a16:creationId xmlns:a16="http://schemas.microsoft.com/office/drawing/2014/main" id="{00000000-0008-0000-0900-00005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4899" name="Button 83" hidden="1">
              <a:extLst>
                <a:ext uri="{63B3BB69-23CF-44E3-9099-C40C66FF867C}">
                  <a14:compatExt spid="_x0000_s34899"/>
                </a:ext>
                <a:ext uri="{FF2B5EF4-FFF2-40B4-BE49-F238E27FC236}">
                  <a16:creationId xmlns:a16="http://schemas.microsoft.com/office/drawing/2014/main" id="{00000000-0008-0000-0900-00005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4900" name="Button 84" hidden="1">
              <a:extLst>
                <a:ext uri="{63B3BB69-23CF-44E3-9099-C40C66FF867C}">
                  <a14:compatExt spid="_x0000_s34900"/>
                </a:ext>
                <a:ext uri="{FF2B5EF4-FFF2-40B4-BE49-F238E27FC236}">
                  <a16:creationId xmlns:a16="http://schemas.microsoft.com/office/drawing/2014/main" id="{00000000-0008-0000-0900-00005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4901" name="Button 85" hidden="1">
              <a:extLst>
                <a:ext uri="{63B3BB69-23CF-44E3-9099-C40C66FF867C}">
                  <a14:compatExt spid="_x0000_s34901"/>
                </a:ext>
                <a:ext uri="{FF2B5EF4-FFF2-40B4-BE49-F238E27FC236}">
                  <a16:creationId xmlns:a16="http://schemas.microsoft.com/office/drawing/2014/main" id="{00000000-0008-0000-0900-00005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4902" name="Button 86" hidden="1">
              <a:extLst>
                <a:ext uri="{63B3BB69-23CF-44E3-9099-C40C66FF867C}">
                  <a14:compatExt spid="_x0000_s34902"/>
                </a:ext>
                <a:ext uri="{FF2B5EF4-FFF2-40B4-BE49-F238E27FC236}">
                  <a16:creationId xmlns:a16="http://schemas.microsoft.com/office/drawing/2014/main" id="{00000000-0008-0000-0900-00005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4903" name="Button 87" hidden="1">
              <a:extLst>
                <a:ext uri="{63B3BB69-23CF-44E3-9099-C40C66FF867C}">
                  <a14:compatExt spid="_x0000_s34903"/>
                </a:ext>
                <a:ext uri="{FF2B5EF4-FFF2-40B4-BE49-F238E27FC236}">
                  <a16:creationId xmlns:a16="http://schemas.microsoft.com/office/drawing/2014/main" id="{00000000-0008-0000-0900-00005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4904" name="Button 88" hidden="1">
              <a:extLst>
                <a:ext uri="{63B3BB69-23CF-44E3-9099-C40C66FF867C}">
                  <a14:compatExt spid="_x0000_s34904"/>
                </a:ext>
                <a:ext uri="{FF2B5EF4-FFF2-40B4-BE49-F238E27FC236}">
                  <a16:creationId xmlns:a16="http://schemas.microsoft.com/office/drawing/2014/main" id="{00000000-0008-0000-0900-00005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4905" name="Button 89" hidden="1">
              <a:extLst>
                <a:ext uri="{63B3BB69-23CF-44E3-9099-C40C66FF867C}">
                  <a14:compatExt spid="_x0000_s34905"/>
                </a:ext>
                <a:ext uri="{FF2B5EF4-FFF2-40B4-BE49-F238E27FC236}">
                  <a16:creationId xmlns:a16="http://schemas.microsoft.com/office/drawing/2014/main" id="{00000000-0008-0000-0900-00005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4906" name="Button 90" hidden="1">
              <a:extLst>
                <a:ext uri="{63B3BB69-23CF-44E3-9099-C40C66FF867C}">
                  <a14:compatExt spid="_x0000_s34906"/>
                </a:ext>
                <a:ext uri="{FF2B5EF4-FFF2-40B4-BE49-F238E27FC236}">
                  <a16:creationId xmlns:a16="http://schemas.microsoft.com/office/drawing/2014/main" id="{00000000-0008-0000-0900-00005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4907" name="Button 91" hidden="1">
              <a:extLst>
                <a:ext uri="{63B3BB69-23CF-44E3-9099-C40C66FF867C}">
                  <a14:compatExt spid="_x0000_s34907"/>
                </a:ext>
                <a:ext uri="{FF2B5EF4-FFF2-40B4-BE49-F238E27FC236}">
                  <a16:creationId xmlns:a16="http://schemas.microsoft.com/office/drawing/2014/main" id="{00000000-0008-0000-0900-00005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4908" name="Button 92" hidden="1">
              <a:extLst>
                <a:ext uri="{63B3BB69-23CF-44E3-9099-C40C66FF867C}">
                  <a14:compatExt spid="_x0000_s34908"/>
                </a:ext>
                <a:ext uri="{FF2B5EF4-FFF2-40B4-BE49-F238E27FC236}">
                  <a16:creationId xmlns:a16="http://schemas.microsoft.com/office/drawing/2014/main" id="{00000000-0008-0000-0900-00005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4909" name="Button 93" hidden="1">
              <a:extLst>
                <a:ext uri="{63B3BB69-23CF-44E3-9099-C40C66FF867C}">
                  <a14:compatExt spid="_x0000_s34909"/>
                </a:ext>
                <a:ext uri="{FF2B5EF4-FFF2-40B4-BE49-F238E27FC236}">
                  <a16:creationId xmlns:a16="http://schemas.microsoft.com/office/drawing/2014/main" id="{00000000-0008-0000-0900-00005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4910" name="Button 94" hidden="1">
              <a:extLst>
                <a:ext uri="{63B3BB69-23CF-44E3-9099-C40C66FF867C}">
                  <a14:compatExt spid="_x0000_s34910"/>
                </a:ext>
                <a:ext uri="{FF2B5EF4-FFF2-40B4-BE49-F238E27FC236}">
                  <a16:creationId xmlns:a16="http://schemas.microsoft.com/office/drawing/2014/main" id="{00000000-0008-0000-0900-00005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4911" name="Button 95" hidden="1">
              <a:extLst>
                <a:ext uri="{63B3BB69-23CF-44E3-9099-C40C66FF867C}">
                  <a14:compatExt spid="_x0000_s34911"/>
                </a:ext>
                <a:ext uri="{FF2B5EF4-FFF2-40B4-BE49-F238E27FC236}">
                  <a16:creationId xmlns:a16="http://schemas.microsoft.com/office/drawing/2014/main" id="{00000000-0008-0000-0900-00005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4912" name="Button 96" hidden="1">
              <a:extLst>
                <a:ext uri="{63B3BB69-23CF-44E3-9099-C40C66FF867C}">
                  <a14:compatExt spid="_x0000_s34912"/>
                </a:ext>
                <a:ext uri="{FF2B5EF4-FFF2-40B4-BE49-F238E27FC236}">
                  <a16:creationId xmlns:a16="http://schemas.microsoft.com/office/drawing/2014/main" id="{00000000-0008-0000-0900-00006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4913" name="Button 97" hidden="1">
              <a:extLst>
                <a:ext uri="{63B3BB69-23CF-44E3-9099-C40C66FF867C}">
                  <a14:compatExt spid="_x0000_s34913"/>
                </a:ext>
                <a:ext uri="{FF2B5EF4-FFF2-40B4-BE49-F238E27FC236}">
                  <a16:creationId xmlns:a16="http://schemas.microsoft.com/office/drawing/2014/main" id="{00000000-0008-0000-0900-00006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4914" name="Button 98" hidden="1">
              <a:extLst>
                <a:ext uri="{63B3BB69-23CF-44E3-9099-C40C66FF867C}">
                  <a14:compatExt spid="_x0000_s34914"/>
                </a:ext>
                <a:ext uri="{FF2B5EF4-FFF2-40B4-BE49-F238E27FC236}">
                  <a16:creationId xmlns:a16="http://schemas.microsoft.com/office/drawing/2014/main" id="{00000000-0008-0000-0900-00006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4915" name="Button 99" hidden="1">
              <a:extLst>
                <a:ext uri="{63B3BB69-23CF-44E3-9099-C40C66FF867C}">
                  <a14:compatExt spid="_x0000_s34915"/>
                </a:ext>
                <a:ext uri="{FF2B5EF4-FFF2-40B4-BE49-F238E27FC236}">
                  <a16:creationId xmlns:a16="http://schemas.microsoft.com/office/drawing/2014/main" id="{00000000-0008-0000-0900-00006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4916" name="Button 100" hidden="1">
              <a:extLst>
                <a:ext uri="{63B3BB69-23CF-44E3-9099-C40C66FF867C}">
                  <a14:compatExt spid="_x0000_s34916"/>
                </a:ext>
                <a:ext uri="{FF2B5EF4-FFF2-40B4-BE49-F238E27FC236}">
                  <a16:creationId xmlns:a16="http://schemas.microsoft.com/office/drawing/2014/main" id="{00000000-0008-0000-0900-00006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4917" name="Button 101" hidden="1">
              <a:extLst>
                <a:ext uri="{63B3BB69-23CF-44E3-9099-C40C66FF867C}">
                  <a14:compatExt spid="_x0000_s34917"/>
                </a:ext>
                <a:ext uri="{FF2B5EF4-FFF2-40B4-BE49-F238E27FC236}">
                  <a16:creationId xmlns:a16="http://schemas.microsoft.com/office/drawing/2014/main" id="{00000000-0008-0000-0900-00006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4918" name="Button 102" hidden="1">
              <a:extLst>
                <a:ext uri="{63B3BB69-23CF-44E3-9099-C40C66FF867C}">
                  <a14:compatExt spid="_x0000_s34918"/>
                </a:ext>
                <a:ext uri="{FF2B5EF4-FFF2-40B4-BE49-F238E27FC236}">
                  <a16:creationId xmlns:a16="http://schemas.microsoft.com/office/drawing/2014/main" id="{00000000-0008-0000-0900-00006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4919" name="Button 103" hidden="1">
              <a:extLst>
                <a:ext uri="{63B3BB69-23CF-44E3-9099-C40C66FF867C}">
                  <a14:compatExt spid="_x0000_s34919"/>
                </a:ext>
                <a:ext uri="{FF2B5EF4-FFF2-40B4-BE49-F238E27FC236}">
                  <a16:creationId xmlns:a16="http://schemas.microsoft.com/office/drawing/2014/main" id="{00000000-0008-0000-0900-00006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4920" name="Button 104" hidden="1">
              <a:extLst>
                <a:ext uri="{63B3BB69-23CF-44E3-9099-C40C66FF867C}">
                  <a14:compatExt spid="_x0000_s34920"/>
                </a:ext>
                <a:ext uri="{FF2B5EF4-FFF2-40B4-BE49-F238E27FC236}">
                  <a16:creationId xmlns:a16="http://schemas.microsoft.com/office/drawing/2014/main" id="{00000000-0008-0000-0900-00006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4921" name="Button 105" hidden="1">
              <a:extLst>
                <a:ext uri="{63B3BB69-23CF-44E3-9099-C40C66FF867C}">
                  <a14:compatExt spid="_x0000_s34921"/>
                </a:ext>
                <a:ext uri="{FF2B5EF4-FFF2-40B4-BE49-F238E27FC236}">
                  <a16:creationId xmlns:a16="http://schemas.microsoft.com/office/drawing/2014/main" id="{00000000-0008-0000-0900-00006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4922" name="Button 106" hidden="1">
              <a:extLst>
                <a:ext uri="{63B3BB69-23CF-44E3-9099-C40C66FF867C}">
                  <a14:compatExt spid="_x0000_s34922"/>
                </a:ext>
                <a:ext uri="{FF2B5EF4-FFF2-40B4-BE49-F238E27FC236}">
                  <a16:creationId xmlns:a16="http://schemas.microsoft.com/office/drawing/2014/main" id="{00000000-0008-0000-0900-00006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4923" name="Button 107" hidden="1">
              <a:extLst>
                <a:ext uri="{63B3BB69-23CF-44E3-9099-C40C66FF867C}">
                  <a14:compatExt spid="_x0000_s34923"/>
                </a:ext>
                <a:ext uri="{FF2B5EF4-FFF2-40B4-BE49-F238E27FC236}">
                  <a16:creationId xmlns:a16="http://schemas.microsoft.com/office/drawing/2014/main" id="{00000000-0008-0000-0900-00006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4924" name="Button 108" hidden="1">
              <a:extLst>
                <a:ext uri="{63B3BB69-23CF-44E3-9099-C40C66FF867C}">
                  <a14:compatExt spid="_x0000_s34924"/>
                </a:ext>
                <a:ext uri="{FF2B5EF4-FFF2-40B4-BE49-F238E27FC236}">
                  <a16:creationId xmlns:a16="http://schemas.microsoft.com/office/drawing/2014/main" id="{00000000-0008-0000-0900-00006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4925" name="Button 109" hidden="1">
              <a:extLst>
                <a:ext uri="{63B3BB69-23CF-44E3-9099-C40C66FF867C}">
                  <a14:compatExt spid="_x0000_s34925"/>
                </a:ext>
                <a:ext uri="{FF2B5EF4-FFF2-40B4-BE49-F238E27FC236}">
                  <a16:creationId xmlns:a16="http://schemas.microsoft.com/office/drawing/2014/main" id="{00000000-0008-0000-0900-00006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4926" name="Button 110" hidden="1">
              <a:extLst>
                <a:ext uri="{63B3BB69-23CF-44E3-9099-C40C66FF867C}">
                  <a14:compatExt spid="_x0000_s34926"/>
                </a:ext>
                <a:ext uri="{FF2B5EF4-FFF2-40B4-BE49-F238E27FC236}">
                  <a16:creationId xmlns:a16="http://schemas.microsoft.com/office/drawing/2014/main" id="{00000000-0008-0000-0900-00006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4927" name="Button 111" hidden="1">
              <a:extLst>
                <a:ext uri="{63B3BB69-23CF-44E3-9099-C40C66FF867C}">
                  <a14:compatExt spid="_x0000_s34927"/>
                </a:ext>
                <a:ext uri="{FF2B5EF4-FFF2-40B4-BE49-F238E27FC236}">
                  <a16:creationId xmlns:a16="http://schemas.microsoft.com/office/drawing/2014/main" id="{00000000-0008-0000-0900-00006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4928" name="Button 112" hidden="1">
              <a:extLst>
                <a:ext uri="{63B3BB69-23CF-44E3-9099-C40C66FF867C}">
                  <a14:compatExt spid="_x0000_s34928"/>
                </a:ext>
                <a:ext uri="{FF2B5EF4-FFF2-40B4-BE49-F238E27FC236}">
                  <a16:creationId xmlns:a16="http://schemas.microsoft.com/office/drawing/2014/main" id="{00000000-0008-0000-0900-00007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4929" name="Button 113" hidden="1">
              <a:extLst>
                <a:ext uri="{63B3BB69-23CF-44E3-9099-C40C66FF867C}">
                  <a14:compatExt spid="_x0000_s34929"/>
                </a:ext>
                <a:ext uri="{FF2B5EF4-FFF2-40B4-BE49-F238E27FC236}">
                  <a16:creationId xmlns:a16="http://schemas.microsoft.com/office/drawing/2014/main" id="{00000000-0008-0000-0900-00007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4930" name="Button 114" hidden="1">
              <a:extLst>
                <a:ext uri="{63B3BB69-23CF-44E3-9099-C40C66FF867C}">
                  <a14:compatExt spid="_x0000_s34930"/>
                </a:ext>
                <a:ext uri="{FF2B5EF4-FFF2-40B4-BE49-F238E27FC236}">
                  <a16:creationId xmlns:a16="http://schemas.microsoft.com/office/drawing/2014/main" id="{00000000-0008-0000-0900-00007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4931" name="Button 115" hidden="1">
              <a:extLst>
                <a:ext uri="{63B3BB69-23CF-44E3-9099-C40C66FF867C}">
                  <a14:compatExt spid="_x0000_s34931"/>
                </a:ext>
                <a:ext uri="{FF2B5EF4-FFF2-40B4-BE49-F238E27FC236}">
                  <a16:creationId xmlns:a16="http://schemas.microsoft.com/office/drawing/2014/main" id="{00000000-0008-0000-0900-00007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4932" name="Button 116" hidden="1">
              <a:extLst>
                <a:ext uri="{63B3BB69-23CF-44E3-9099-C40C66FF867C}">
                  <a14:compatExt spid="_x0000_s34932"/>
                </a:ext>
                <a:ext uri="{FF2B5EF4-FFF2-40B4-BE49-F238E27FC236}">
                  <a16:creationId xmlns:a16="http://schemas.microsoft.com/office/drawing/2014/main" id="{00000000-0008-0000-0900-00007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4933" name="Button 117" hidden="1">
              <a:extLst>
                <a:ext uri="{63B3BB69-23CF-44E3-9099-C40C66FF867C}">
                  <a14:compatExt spid="_x0000_s34933"/>
                </a:ext>
                <a:ext uri="{FF2B5EF4-FFF2-40B4-BE49-F238E27FC236}">
                  <a16:creationId xmlns:a16="http://schemas.microsoft.com/office/drawing/2014/main" id="{00000000-0008-0000-0900-00007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4934" name="Button 118" hidden="1">
              <a:extLst>
                <a:ext uri="{63B3BB69-23CF-44E3-9099-C40C66FF867C}">
                  <a14:compatExt spid="_x0000_s34934"/>
                </a:ext>
                <a:ext uri="{FF2B5EF4-FFF2-40B4-BE49-F238E27FC236}">
                  <a16:creationId xmlns:a16="http://schemas.microsoft.com/office/drawing/2014/main" id="{00000000-0008-0000-0900-00007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4935" name="Button 119" hidden="1">
              <a:extLst>
                <a:ext uri="{63B3BB69-23CF-44E3-9099-C40C66FF867C}">
                  <a14:compatExt spid="_x0000_s34935"/>
                </a:ext>
                <a:ext uri="{FF2B5EF4-FFF2-40B4-BE49-F238E27FC236}">
                  <a16:creationId xmlns:a16="http://schemas.microsoft.com/office/drawing/2014/main" id="{00000000-0008-0000-0900-00007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4936" name="Button 120" hidden="1">
              <a:extLst>
                <a:ext uri="{63B3BB69-23CF-44E3-9099-C40C66FF867C}">
                  <a14:compatExt spid="_x0000_s34936"/>
                </a:ext>
                <a:ext uri="{FF2B5EF4-FFF2-40B4-BE49-F238E27FC236}">
                  <a16:creationId xmlns:a16="http://schemas.microsoft.com/office/drawing/2014/main" id="{00000000-0008-0000-0900-00007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4937" name="Button 121" hidden="1">
              <a:extLst>
                <a:ext uri="{63B3BB69-23CF-44E3-9099-C40C66FF867C}">
                  <a14:compatExt spid="_x0000_s34937"/>
                </a:ext>
                <a:ext uri="{FF2B5EF4-FFF2-40B4-BE49-F238E27FC236}">
                  <a16:creationId xmlns:a16="http://schemas.microsoft.com/office/drawing/2014/main" id="{00000000-0008-0000-0900-00007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4938" name="Button 122" hidden="1">
              <a:extLst>
                <a:ext uri="{63B3BB69-23CF-44E3-9099-C40C66FF867C}">
                  <a14:compatExt spid="_x0000_s34938"/>
                </a:ext>
                <a:ext uri="{FF2B5EF4-FFF2-40B4-BE49-F238E27FC236}">
                  <a16:creationId xmlns:a16="http://schemas.microsoft.com/office/drawing/2014/main" id="{00000000-0008-0000-0900-00007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4939" name="Button 123" hidden="1">
              <a:extLst>
                <a:ext uri="{63B3BB69-23CF-44E3-9099-C40C66FF867C}">
                  <a14:compatExt spid="_x0000_s34939"/>
                </a:ext>
                <a:ext uri="{FF2B5EF4-FFF2-40B4-BE49-F238E27FC236}">
                  <a16:creationId xmlns:a16="http://schemas.microsoft.com/office/drawing/2014/main" id="{00000000-0008-0000-0900-00007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4940" name="Button 124" hidden="1">
              <a:extLst>
                <a:ext uri="{63B3BB69-23CF-44E3-9099-C40C66FF867C}">
                  <a14:compatExt spid="_x0000_s34940"/>
                </a:ext>
                <a:ext uri="{FF2B5EF4-FFF2-40B4-BE49-F238E27FC236}">
                  <a16:creationId xmlns:a16="http://schemas.microsoft.com/office/drawing/2014/main" id="{00000000-0008-0000-0900-00007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4941" name="Button 125" hidden="1">
              <a:extLst>
                <a:ext uri="{63B3BB69-23CF-44E3-9099-C40C66FF867C}">
                  <a14:compatExt spid="_x0000_s34941"/>
                </a:ext>
                <a:ext uri="{FF2B5EF4-FFF2-40B4-BE49-F238E27FC236}">
                  <a16:creationId xmlns:a16="http://schemas.microsoft.com/office/drawing/2014/main" id="{00000000-0008-0000-0900-00007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4942" name="Button 126" hidden="1">
              <a:extLst>
                <a:ext uri="{63B3BB69-23CF-44E3-9099-C40C66FF867C}">
                  <a14:compatExt spid="_x0000_s34942"/>
                </a:ext>
                <a:ext uri="{FF2B5EF4-FFF2-40B4-BE49-F238E27FC236}">
                  <a16:creationId xmlns:a16="http://schemas.microsoft.com/office/drawing/2014/main" id="{00000000-0008-0000-0900-00007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4943" name="Button 127" hidden="1">
              <a:extLst>
                <a:ext uri="{63B3BB69-23CF-44E3-9099-C40C66FF867C}">
                  <a14:compatExt spid="_x0000_s34943"/>
                </a:ext>
                <a:ext uri="{FF2B5EF4-FFF2-40B4-BE49-F238E27FC236}">
                  <a16:creationId xmlns:a16="http://schemas.microsoft.com/office/drawing/2014/main" id="{00000000-0008-0000-0900-00007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4944" name="Button 128" hidden="1">
              <a:extLst>
                <a:ext uri="{63B3BB69-23CF-44E3-9099-C40C66FF867C}">
                  <a14:compatExt spid="_x0000_s34944"/>
                </a:ext>
                <a:ext uri="{FF2B5EF4-FFF2-40B4-BE49-F238E27FC236}">
                  <a16:creationId xmlns:a16="http://schemas.microsoft.com/office/drawing/2014/main" id="{00000000-0008-0000-0900-00008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4945" name="Button 129" hidden="1">
              <a:extLst>
                <a:ext uri="{63B3BB69-23CF-44E3-9099-C40C66FF867C}">
                  <a14:compatExt spid="_x0000_s34945"/>
                </a:ext>
                <a:ext uri="{FF2B5EF4-FFF2-40B4-BE49-F238E27FC236}">
                  <a16:creationId xmlns:a16="http://schemas.microsoft.com/office/drawing/2014/main" id="{00000000-0008-0000-0900-00008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4946" name="Button 130" hidden="1">
              <a:extLst>
                <a:ext uri="{63B3BB69-23CF-44E3-9099-C40C66FF867C}">
                  <a14:compatExt spid="_x0000_s34946"/>
                </a:ext>
                <a:ext uri="{FF2B5EF4-FFF2-40B4-BE49-F238E27FC236}">
                  <a16:creationId xmlns:a16="http://schemas.microsoft.com/office/drawing/2014/main" id="{00000000-0008-0000-0900-00008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4947" name="Button 131" hidden="1">
              <a:extLst>
                <a:ext uri="{63B3BB69-23CF-44E3-9099-C40C66FF867C}">
                  <a14:compatExt spid="_x0000_s34947"/>
                </a:ext>
                <a:ext uri="{FF2B5EF4-FFF2-40B4-BE49-F238E27FC236}">
                  <a16:creationId xmlns:a16="http://schemas.microsoft.com/office/drawing/2014/main" id="{00000000-0008-0000-0900-00008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4948" name="Button 132" hidden="1">
              <a:extLst>
                <a:ext uri="{63B3BB69-23CF-44E3-9099-C40C66FF867C}">
                  <a14:compatExt spid="_x0000_s34948"/>
                </a:ext>
                <a:ext uri="{FF2B5EF4-FFF2-40B4-BE49-F238E27FC236}">
                  <a16:creationId xmlns:a16="http://schemas.microsoft.com/office/drawing/2014/main" id="{00000000-0008-0000-0900-00008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4949" name="Button 133" hidden="1">
              <a:extLst>
                <a:ext uri="{63B3BB69-23CF-44E3-9099-C40C66FF867C}">
                  <a14:compatExt spid="_x0000_s34949"/>
                </a:ext>
                <a:ext uri="{FF2B5EF4-FFF2-40B4-BE49-F238E27FC236}">
                  <a16:creationId xmlns:a16="http://schemas.microsoft.com/office/drawing/2014/main" id="{00000000-0008-0000-0900-00008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4950" name="Button 134" hidden="1">
              <a:extLst>
                <a:ext uri="{63B3BB69-23CF-44E3-9099-C40C66FF867C}">
                  <a14:compatExt spid="_x0000_s34950"/>
                </a:ext>
                <a:ext uri="{FF2B5EF4-FFF2-40B4-BE49-F238E27FC236}">
                  <a16:creationId xmlns:a16="http://schemas.microsoft.com/office/drawing/2014/main" id="{00000000-0008-0000-0900-00008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4951" name="Button 135" hidden="1">
              <a:extLst>
                <a:ext uri="{63B3BB69-23CF-44E3-9099-C40C66FF867C}">
                  <a14:compatExt spid="_x0000_s34951"/>
                </a:ext>
                <a:ext uri="{FF2B5EF4-FFF2-40B4-BE49-F238E27FC236}">
                  <a16:creationId xmlns:a16="http://schemas.microsoft.com/office/drawing/2014/main" id="{00000000-0008-0000-0900-00008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4952" name="Button 136" hidden="1">
              <a:extLst>
                <a:ext uri="{63B3BB69-23CF-44E3-9099-C40C66FF867C}">
                  <a14:compatExt spid="_x0000_s34952"/>
                </a:ext>
                <a:ext uri="{FF2B5EF4-FFF2-40B4-BE49-F238E27FC236}">
                  <a16:creationId xmlns:a16="http://schemas.microsoft.com/office/drawing/2014/main" id="{00000000-0008-0000-0900-00008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4953" name="Button 137" hidden="1">
              <a:extLst>
                <a:ext uri="{63B3BB69-23CF-44E3-9099-C40C66FF867C}">
                  <a14:compatExt spid="_x0000_s34953"/>
                </a:ext>
                <a:ext uri="{FF2B5EF4-FFF2-40B4-BE49-F238E27FC236}">
                  <a16:creationId xmlns:a16="http://schemas.microsoft.com/office/drawing/2014/main" id="{00000000-0008-0000-0900-00008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4954" name="Button 138" hidden="1">
              <a:extLst>
                <a:ext uri="{63B3BB69-23CF-44E3-9099-C40C66FF867C}">
                  <a14:compatExt spid="_x0000_s34954"/>
                </a:ext>
                <a:ext uri="{FF2B5EF4-FFF2-40B4-BE49-F238E27FC236}">
                  <a16:creationId xmlns:a16="http://schemas.microsoft.com/office/drawing/2014/main" id="{00000000-0008-0000-0900-00008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4955" name="Button 139" hidden="1">
              <a:extLst>
                <a:ext uri="{63B3BB69-23CF-44E3-9099-C40C66FF867C}">
                  <a14:compatExt spid="_x0000_s34955"/>
                </a:ext>
                <a:ext uri="{FF2B5EF4-FFF2-40B4-BE49-F238E27FC236}">
                  <a16:creationId xmlns:a16="http://schemas.microsoft.com/office/drawing/2014/main" id="{00000000-0008-0000-0900-00008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4956" name="Button 140" hidden="1">
              <a:extLst>
                <a:ext uri="{63B3BB69-23CF-44E3-9099-C40C66FF867C}">
                  <a14:compatExt spid="_x0000_s34956"/>
                </a:ext>
                <a:ext uri="{FF2B5EF4-FFF2-40B4-BE49-F238E27FC236}">
                  <a16:creationId xmlns:a16="http://schemas.microsoft.com/office/drawing/2014/main" id="{00000000-0008-0000-0900-00008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34D2808E-2901-40E2-B3A8-64B65D6CE1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8C9361AE-5961-420C-9C2A-6B7A7F5C2C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F71ADDFC-6D70-4C0C-8F72-7C7261E6FF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D8EFDA1F-F7C1-4D62-AC30-DE5A107A33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AEAE25DE-D4EB-49D1-89E4-B776A1CEDF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B1E6FE07-ED98-4F46-B820-3A9B821F32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C069E608-753F-4960-8759-5439158F73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424257B-DAE0-4798-936F-741E8F3582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990C0BBB-85DC-4ED1-882E-8460166450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6EDEC953-7475-4DCE-81C8-BB0C963D44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E70CDCD7-C26A-4114-94C7-C87935B0CB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8E99CD6A-0E68-4DC7-B77C-AD2A6BA2FA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B8317872-FBF9-41F2-B9EC-E82CAAFC6C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D354BB60-9D94-49DB-BD20-BECE9838D6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344F3EA3-7B9F-4D2C-8B12-E72084A613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96F7CDF9-00D4-48F0-9435-7633200BCD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DEC80C19-005A-4822-8CB9-79290B25AC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FAF672F7-1135-44A1-8CE6-8CD1464D44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B74A812-E823-4C84-8F31-9C313CCAB6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A9B41D20-3437-461A-8790-0C0D6F1EC7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4CD83FC2-BE3A-4539-9C3B-BC45D7F5AE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C48E00E-34EB-4B9B-AA31-26B88E98CD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C914D2F5-9F9E-4569-9564-5DE9E2C882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1B5DEE9-1AE8-4CBC-8633-D353A53CA2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13AEE4D-8B0C-4652-A234-A7C6450684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7BA33F2D-AB91-4FEB-9C45-D194546F3A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6C217279-4F86-4BED-8A60-F8B4D79DB9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EFE9E1B9-C088-48D7-B528-7ABEFA3BA4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577D13FC-7201-4FC5-884E-002785E4A9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79135DCF-5EEC-4F06-A0C9-9502B0CD7B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BEFC084C-25F1-4714-A94B-6D8AFE37C3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7451182D-F785-4C23-9CEE-E81B6E7C68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15F5D8BE-3365-4A35-A4EE-9B28AA866E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61C63443-346B-4D09-8F56-9520885A75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7D384676-294C-4FAC-B02F-F8B1E6EF7C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1403BC4-BF5B-4423-AF83-F4F60EAB4D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4EDA0FD0-2A6E-4E80-A8EE-72A04F0D0D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8D025083-68CC-478F-B4C5-3A9BDBE3CD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D0198ECD-92FD-43E2-817B-21D19AD3F6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4B699BD9-F182-4C71-84CC-738BC36B40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8933DDCE-3E2D-410F-BFE4-526F3A60C8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ED0062FE-16F2-42DA-9D61-5A85447677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6928A73B-B545-4C6A-AE4E-963B2B038C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5E3AA435-1576-48DE-84E7-A762A9B633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67D0C197-B40C-4218-8187-27592957E7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1AE7062B-E4D9-44FE-8A4C-6BE2C5A840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4E34496D-3837-4442-9303-4A8F71DB1F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2912241E-B60F-4C7D-973B-DE7B39973A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6D73D989-B72D-40BB-95E0-8C2B783A86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91B35DA3-C3ED-4683-9EFA-3BF0BFDFC2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EFFFA4D-8C65-43C5-AB1C-9090518EE8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B32555EB-68EB-4034-90E1-DE75C83806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452D12A4-3814-43FD-B7D1-AC82CA971D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1AC6463C-2474-4938-8BB3-1A56C441C4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FA51D970-9ED4-4896-8232-F74F5DA46D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6071FCD0-2554-4812-96E3-E6527AA427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E6A5DA51-436B-418F-8913-AB5BF2280B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856F219C-7E78-409F-9A49-F28EB837BD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970E5789-0CD6-4657-B103-EC1DC462D0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DAE7DFBE-4455-42BA-A945-40C0A7C672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DEEE6B29-5D70-4087-944E-3EA707DE2D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A72163E2-73BB-492B-ABA8-29639257D2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E723F769-0382-4198-896F-04BDEABA51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94473F22-0DA8-4EC1-A726-BA1B8E8DA7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EBD5F28F-C61E-4E9E-AAF9-AF54B5312F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9973EC15-CC55-4D32-A89F-589E5866DE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39112D6D-AB8B-4E47-BA39-59B397BE98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7A0B96C0-271A-4636-9253-85D0B5280A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D6090B26-815E-4B95-9F6B-CDA3FADB3E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E4E68DC8-F506-4320-B0AD-39422B7FD6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6FD7CDB0-89C6-4621-8065-5006604D16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1B371E10-F434-4A5B-B776-657DC544B4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E4F09C63-0C34-49CE-B1AD-45F90B4B88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A9796D75-C8F0-420A-A37B-A48BF27434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382534E0-B8F0-4940-AEC4-9583D40403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90DB9C82-5C22-4E1A-834D-220172EC92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7815F90D-BC21-4541-8050-F919216E7C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E907A9E0-D17F-4C8B-92CE-B14AB4B79D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852F0C63-1A6C-4D40-8AFD-E581FF150E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1889F62A-9FBB-426E-9115-CC622588F5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DC4D8613-2915-4339-B73D-7A343F5255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C50F3A5C-63F8-4E68-BE2C-1C53442540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7BCC4B59-ACBB-43D9-B8CB-D452A47170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D0374C37-063C-486B-9DFE-08509203BA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B5D6AE41-0C74-4687-8A7C-FC6C55E000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8C13EBEC-AE45-4AEE-A28D-49C3283700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D2E2A1FF-290F-4B8D-8047-74CAD738F0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D9B680F9-5FD5-49FF-9A1D-BF9E89889F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30911BC3-BDD7-45AA-B8B5-08EB8023EE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6F882330-F375-4C72-BB7C-78045D41F2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A7B09005-C3C0-4D89-B763-319BB0EBB9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985399AF-A36F-4D46-8FF4-728CD05D7A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C9917C9D-C782-49ED-94F5-4668EA13EF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CF7698A8-8ECA-45F7-845E-E2027D02C7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EE8216A2-4703-497B-B6D9-B3E7378400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D65FCE01-8121-4B43-9782-77390FA131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9FC3BD54-3A3B-4BD7-B9F2-1530B3B7A4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8B806754-D183-4A10-A4D3-46BB5E7B75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6C3BF1F6-CEA4-4DA8-A1E3-CE23B93CC6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23FCB611-2A5A-4B53-801A-81BC884010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47E06E-0FA9-410E-87CA-314E3E8747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45616ED5-3104-415F-B684-BB0B679C2F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2459F108-679F-470F-BA65-78741270A6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FFA4380-0C00-46A9-9045-E751961780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4B93543C-757A-4628-BA9F-F57EAF1F00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89B0704-8864-438A-ACF7-4F613CECDC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7D022F18-9967-44F9-975E-F82F2A0604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C18D82E9-E622-4200-B069-8665D3B09B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714CC5B4-67DC-4363-ABFF-A1A84FF044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926B70AC-349A-489C-AEA1-6BFA2D8C16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4187A8B7-91D6-4FCC-80F2-B7D21682CE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C2F170FA-686B-41C1-AD2F-8F23A7E990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B1A11DC5-42CD-4545-ADAF-57CAEFEEF1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D432ED8F-9779-414D-A027-C9E7980589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783DCB34-0079-4EA4-A734-B94C206CA9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F7F1EA07-2734-4F8A-85E7-D75EBC5DC7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E7FF1E28-BB24-494B-AE97-BD274C9102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FB28E94B-8A4A-4500-8445-19E596AEAC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AB1326E8-C9B2-47EF-A9AB-B9DFABC7D6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5723059F-2249-4D2E-A6B4-55CDBD9298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88D1F120-825E-482F-9E8C-02CC1BC56B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22F9243D-5CFC-43EC-9876-41EE54C50E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6CE9B0D-76F0-4530-9B5A-686D9A3183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912BE6E8-89E0-4398-AD0F-8EA75CC056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C91115F9-939D-4397-B54B-2DF0D1C6A2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9FD30437-8685-4BF4-8A51-10BD383E84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E765F2A3-AC5B-4CE4-BC93-50B3E655FF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7781957A-23AA-4802-B585-0E357EC54C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A6681805-2AA8-40C7-9803-2E06F31355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CC98F578-CA8E-4EA2-B071-D1B26E7CF6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ECDBBB64-6827-43AF-AEE8-D39E573DC0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6D1E3F40-0C3B-4FD4-8190-C831035488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F0EF7478-1CA3-41E9-AA8C-D5DAAA4559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4EC8E6F2-B0A1-4C78-B0C1-7973E19406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6CBFBD10-4E08-43BD-87AE-DB471B3C2E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899B8EAE-7B14-446A-8F98-FD60995A1B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8E02B7B5-F6C8-4D29-9029-1B163A3641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DDE0B28B-1041-43E0-8D71-B6E448A68C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1F571885-91B2-46B4-B74F-C5157B6F6E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6B202245-5A92-42ED-927A-5C387538C3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9" t="s">
        <v>0</v>
      </c>
      <c r="B1" s="250"/>
      <c r="C1" s="250"/>
      <c r="D1" s="250"/>
      <c r="E1" s="250"/>
      <c r="F1" s="251"/>
      <c r="G1" s="252">
        <v>44287</v>
      </c>
      <c r="H1" s="253"/>
      <c r="I1" s="254"/>
      <c r="J1" s="249" t="s">
        <v>1</v>
      </c>
      <c r="K1" s="250"/>
      <c r="L1" s="250"/>
      <c r="M1" s="250"/>
      <c r="N1" s="250"/>
      <c r="O1" s="251"/>
      <c r="Q1" s="249" t="s">
        <v>2</v>
      </c>
      <c r="R1" s="251"/>
    </row>
    <row r="2" spans="1:19" ht="17.25" customHeight="1">
      <c r="A2" s="1" t="s">
        <v>3</v>
      </c>
      <c r="B2" s="255" t="s">
        <v>4</v>
      </c>
      <c r="C2" s="256"/>
      <c r="D2" s="256"/>
      <c r="E2" s="256"/>
      <c r="F2" s="257"/>
      <c r="G2" s="258" t="s">
        <v>46</v>
      </c>
      <c r="H2" s="259"/>
      <c r="I2" s="260"/>
      <c r="J2" s="1" t="s">
        <v>3</v>
      </c>
      <c r="K2" s="255" t="s">
        <v>5</v>
      </c>
      <c r="L2" s="256"/>
      <c r="M2" s="256"/>
      <c r="N2" s="256"/>
      <c r="O2" s="257"/>
      <c r="Q2" s="2" t="s">
        <v>6</v>
      </c>
      <c r="R2" s="3">
        <v>0.375</v>
      </c>
    </row>
    <row r="3" spans="1:19" ht="17.25" customHeight="1" thickBot="1">
      <c r="A3" s="4" t="s">
        <v>7</v>
      </c>
      <c r="B3" s="261" t="s">
        <v>8</v>
      </c>
      <c r="C3" s="262"/>
      <c r="D3" s="262"/>
      <c r="E3" s="262"/>
      <c r="F3" s="263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65"/>
      <c r="I3" s="266"/>
      <c r="J3" s="4" t="s">
        <v>7</v>
      </c>
      <c r="K3" s="261" t="s">
        <v>9</v>
      </c>
      <c r="L3" s="262"/>
      <c r="M3" s="262"/>
      <c r="N3" s="262"/>
      <c r="O3" s="263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61" t="s">
        <v>12</v>
      </c>
      <c r="C4" s="262"/>
      <c r="D4" s="262"/>
      <c r="E4" s="262"/>
      <c r="F4" s="263"/>
      <c r="G4" s="258" t="s">
        <v>44</v>
      </c>
      <c r="H4" s="259"/>
      <c r="I4" s="260"/>
      <c r="J4" s="4" t="s">
        <v>11</v>
      </c>
      <c r="K4" s="261" t="s">
        <v>13</v>
      </c>
      <c r="L4" s="262"/>
      <c r="M4" s="262"/>
      <c r="N4" s="262"/>
      <c r="O4" s="263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261" t="s">
        <v>16</v>
      </c>
      <c r="C5" s="262"/>
      <c r="D5" s="262"/>
      <c r="E5" s="262"/>
      <c r="F5" s="263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65"/>
      <c r="I5" s="266"/>
      <c r="J5" s="4" t="s">
        <v>15</v>
      </c>
      <c r="K5" s="261" t="s">
        <v>17</v>
      </c>
      <c r="L5" s="262"/>
      <c r="M5" s="262"/>
      <c r="N5" s="262"/>
      <c r="O5" s="263"/>
    </row>
    <row r="6" spans="1:19">
      <c r="A6" s="4" t="s">
        <v>18</v>
      </c>
      <c r="B6" s="261" t="s">
        <v>19</v>
      </c>
      <c r="C6" s="262"/>
      <c r="D6" s="262"/>
      <c r="E6" s="262"/>
      <c r="F6" s="263"/>
      <c r="G6" s="258" t="s">
        <v>45</v>
      </c>
      <c r="H6" s="259"/>
      <c r="I6" s="260"/>
      <c r="J6" s="4" t="s">
        <v>18</v>
      </c>
      <c r="K6" s="261" t="s">
        <v>20</v>
      </c>
      <c r="L6" s="262"/>
      <c r="M6" s="262"/>
      <c r="N6" s="262"/>
      <c r="O6" s="263"/>
    </row>
    <row r="7" spans="1:19" ht="17.25" thickBot="1">
      <c r="A7" s="4" t="s">
        <v>21</v>
      </c>
      <c r="B7" s="261" t="s">
        <v>22</v>
      </c>
      <c r="C7" s="262"/>
      <c r="D7" s="262"/>
      <c r="E7" s="262"/>
      <c r="F7" s="263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65"/>
      <c r="I7" s="266"/>
      <c r="J7" s="4" t="s">
        <v>21</v>
      </c>
      <c r="K7" s="261" t="s">
        <v>23</v>
      </c>
      <c r="L7" s="262"/>
      <c r="M7" s="262"/>
      <c r="N7" s="262"/>
      <c r="O7" s="263"/>
    </row>
    <row r="8" spans="1:19" ht="17.25" thickBot="1">
      <c r="A8" s="4" t="s">
        <v>24</v>
      </c>
      <c r="B8" s="261" t="s">
        <v>25</v>
      </c>
      <c r="C8" s="262"/>
      <c r="D8" s="262"/>
      <c r="E8" s="262"/>
      <c r="F8" s="263"/>
      <c r="G8" s="258" t="s">
        <v>285</v>
      </c>
      <c r="H8" s="259"/>
      <c r="I8" s="260"/>
      <c r="J8" s="4" t="s">
        <v>24</v>
      </c>
      <c r="K8" s="261" t="s">
        <v>26</v>
      </c>
      <c r="L8" s="262"/>
      <c r="M8" s="262"/>
      <c r="N8" s="262"/>
      <c r="O8" s="263"/>
      <c r="Q8" s="249" t="s">
        <v>27</v>
      </c>
      <c r="R8" s="251"/>
    </row>
    <row r="9" spans="1:19" ht="17.25" thickBot="1">
      <c r="A9" s="4" t="s">
        <v>28</v>
      </c>
      <c r="B9" s="261"/>
      <c r="C9" s="262"/>
      <c r="D9" s="262"/>
      <c r="E9" s="262"/>
      <c r="F9" s="263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65"/>
      <c r="I9" s="266"/>
      <c r="J9" s="4" t="s">
        <v>28</v>
      </c>
      <c r="K9" s="261" t="s">
        <v>293</v>
      </c>
      <c r="L9" s="262"/>
      <c r="M9" s="262"/>
      <c r="N9" s="262"/>
      <c r="O9" s="263"/>
      <c r="Q9" s="2" t="s">
        <v>29</v>
      </c>
      <c r="R9" s="6">
        <v>10</v>
      </c>
    </row>
    <row r="10" spans="1:19">
      <c r="A10" s="4" t="s">
        <v>30</v>
      </c>
      <c r="B10" s="261"/>
      <c r="C10" s="262"/>
      <c r="D10" s="262"/>
      <c r="E10" s="262"/>
      <c r="F10" s="263"/>
      <c r="G10" s="258" t="s">
        <v>47</v>
      </c>
      <c r="H10" s="259"/>
      <c r="I10" s="260"/>
      <c r="J10" s="4" t="s">
        <v>30</v>
      </c>
      <c r="K10" s="261"/>
      <c r="L10" s="262"/>
      <c r="M10" s="262"/>
      <c r="N10" s="262"/>
      <c r="O10" s="263"/>
      <c r="Q10" s="2" t="s">
        <v>31</v>
      </c>
      <c r="R10" s="6">
        <v>100</v>
      </c>
    </row>
    <row r="11" spans="1:19" ht="17.25" thickBot="1">
      <c r="A11" s="7" t="s">
        <v>32</v>
      </c>
      <c r="B11" s="267"/>
      <c r="C11" s="268"/>
      <c r="D11" s="268"/>
      <c r="E11" s="268"/>
      <c r="F11" s="269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7"/>
      <c r="L11" s="268"/>
      <c r="M11" s="268"/>
      <c r="N11" s="268"/>
      <c r="O11" s="269"/>
      <c r="Q11" s="61" t="s">
        <v>33</v>
      </c>
      <c r="R11" s="8">
        <v>1000</v>
      </c>
    </row>
    <row r="12" spans="1:19" ht="17.25" thickBot="1"/>
    <row r="13" spans="1:19" ht="17.25" customHeight="1" thickBot="1">
      <c r="A13" s="249" t="s">
        <v>34</v>
      </c>
      <c r="B13" s="250"/>
      <c r="C13" s="250"/>
      <c r="D13" s="250"/>
      <c r="E13" s="250"/>
      <c r="F13" s="250"/>
      <c r="G13" s="250"/>
      <c r="H13" s="250"/>
      <c r="I13" s="250"/>
      <c r="J13" s="250"/>
      <c r="K13" s="250"/>
      <c r="L13" s="250"/>
      <c r="M13" s="250"/>
      <c r="N13" s="250"/>
      <c r="O13" s="251"/>
      <c r="Q13" s="270"/>
      <c r="R13" s="270"/>
      <c r="S13" s="270"/>
    </row>
    <row r="14" spans="1:19" ht="17.25" customHeight="1" thickBot="1">
      <c r="A14" s="107" t="s">
        <v>35</v>
      </c>
      <c r="B14" s="249" t="s">
        <v>36</v>
      </c>
      <c r="C14" s="251"/>
      <c r="D14" s="249" t="s">
        <v>37</v>
      </c>
      <c r="E14" s="250"/>
      <c r="F14" s="251"/>
      <c r="G14" s="276">
        <f>_xlfn.IFNA(VLOOKUP(B14, 현재가테이블!$B$2:$D$200, 2, FALSE), "-")</f>
        <v>60874000</v>
      </c>
      <c r="H14" s="277"/>
      <c r="I14" s="278"/>
      <c r="J14" s="249" t="s">
        <v>38</v>
      </c>
      <c r="K14" s="250"/>
      <c r="L14" s="251"/>
      <c r="M14" s="279">
        <f>_xlfn.IFNA(VLOOKUP(B14, 현재가테이블!$B$2:$D$200, 3, FALSE), "-")</f>
        <v>-1.4936000099999999E-2</v>
      </c>
      <c r="N14" s="280"/>
      <c r="O14" s="281"/>
      <c r="Q14" s="270"/>
      <c r="R14" s="270"/>
      <c r="S14" s="270"/>
    </row>
    <row r="15" spans="1:19" ht="17.25" customHeight="1" thickBot="1">
      <c r="A15" s="271" t="s">
        <v>39</v>
      </c>
      <c r="B15" s="282" t="str">
        <f>TEXT($G$1, "[$-ko-KR]yyyy-mm-dd(ddd) ") &amp; "오전 00:00"</f>
        <v>2021-04-01(목) 오전 00:00</v>
      </c>
      <c r="C15" s="283"/>
      <c r="D15" s="272" t="str">
        <f>TEXT($G$1, "[$-ko-KR]yyyy-mm-dd(ddd) ") &amp; "오후 14:00"</f>
        <v>2021-04-01(목) 오후 14:00</v>
      </c>
      <c r="E15" s="273"/>
      <c r="F15" s="274"/>
      <c r="G15" s="272" t="str">
        <f>TEXT($G$1, "[$-ko-KR]yyyy-mm-dd(ddd) ") &amp; "오후 19:00"</f>
        <v>2021-04-01(목) 오후 19:00</v>
      </c>
      <c r="H15" s="273"/>
      <c r="I15" s="274"/>
      <c r="J15" s="272" t="str">
        <f>TEXT($G$1, "[$-ko-KR]yyyy-mm-dd(ddd) ") &amp; "오후 21:00"</f>
        <v>2021-04-01(목) 오후 21:00</v>
      </c>
      <c r="K15" s="273"/>
      <c r="L15" s="274"/>
      <c r="M15" s="272" t="str">
        <f>TEXT($G$1+1, "[$-ko-KR]yyyy-mm-dd(ddd) ") &amp; "오전 00:00"</f>
        <v>2021-04-02(금) 오전 00:00</v>
      </c>
      <c r="N15" s="273"/>
      <c r="O15" s="274"/>
      <c r="Q15" s="270"/>
      <c r="R15" s="270"/>
      <c r="S15" s="270"/>
    </row>
    <row r="16" spans="1:19" ht="17.25" customHeight="1" thickBot="1">
      <c r="A16" s="271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75"/>
      <c r="R16" s="275"/>
      <c r="S16" s="275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6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0"/>
      <c r="R17" s="270"/>
      <c r="S17" s="270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7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0"/>
      <c r="R18" s="270"/>
      <c r="S18" s="270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7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5"/>
      <c r="R19" s="275"/>
      <c r="S19" s="275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7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5"/>
      <c r="R20" s="275"/>
      <c r="S20" s="275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1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5"/>
      <c r="R21" s="275"/>
      <c r="S21" s="275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75"/>
      <c r="R22" s="275"/>
      <c r="S22" s="275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5"/>
      <c r="R23" s="275"/>
      <c r="S23" s="275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5"/>
      <c r="R24" s="275"/>
      <c r="S24" s="275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84"/>
      <c r="R26" s="285"/>
      <c r="S26" s="286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7"/>
      <c r="R27" s="288"/>
      <c r="S27" s="289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0"/>
      <c r="R28" s="291"/>
      <c r="S28" s="292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5"/>
      <c r="R29" s="275"/>
      <c r="S29" s="275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0"/>
      <c r="R30" s="270"/>
      <c r="S30" s="270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0"/>
      <c r="R31" s="270"/>
      <c r="S31" s="270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75"/>
      <c r="R32" s="275"/>
      <c r="S32" s="275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5"/>
      <c r="R33" s="275"/>
      <c r="S33" s="275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5"/>
      <c r="R34" s="275"/>
      <c r="S34" s="275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7"/>
      <c r="R35" s="298"/>
      <c r="S35" s="299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00"/>
      <c r="R36" s="301"/>
      <c r="S36" s="302"/>
    </row>
    <row r="37" spans="1:19" ht="17.25" customHeight="1" thickBot="1">
      <c r="A37" s="26" t="s">
        <v>42</v>
      </c>
      <c r="B37" s="306">
        <v>300000</v>
      </c>
      <c r="C37" s="307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303"/>
      <c r="R37" s="304"/>
      <c r="S37" s="305"/>
    </row>
    <row r="38" spans="1:19" ht="17.25" customHeight="1"/>
    <row r="39" spans="1:19" ht="17.25" customHeight="1" thickBot="1"/>
    <row r="40" spans="1:19" ht="17.25" customHeight="1" thickBot="1">
      <c r="A40" s="249" t="s">
        <v>44</v>
      </c>
      <c r="B40" s="250"/>
      <c r="C40" s="250"/>
      <c r="D40" s="250"/>
      <c r="E40" s="250"/>
      <c r="F40" s="250"/>
      <c r="G40" s="250"/>
      <c r="H40" s="250"/>
      <c r="I40" s="250"/>
      <c r="J40" s="250"/>
      <c r="K40" s="250"/>
      <c r="L40" s="250"/>
      <c r="M40" s="250"/>
      <c r="N40" s="250"/>
      <c r="O40" s="251"/>
      <c r="Q40" s="270"/>
      <c r="R40" s="270"/>
      <c r="S40" s="270"/>
    </row>
    <row r="41" spans="1:19" ht="17.25" customHeight="1" thickBot="1">
      <c r="A41" s="107" t="s">
        <v>298</v>
      </c>
      <c r="B41" s="249" t="s">
        <v>49</v>
      </c>
      <c r="C41" s="251"/>
      <c r="D41" s="249" t="s">
        <v>58</v>
      </c>
      <c r="E41" s="250"/>
      <c r="F41" s="251"/>
      <c r="G41" s="276">
        <f>_xlfn.IFNA(VLOOKUP(B41, 현재가테이블!$B$2:$D$200, 2, FALSE), "-")</f>
        <v>60874000</v>
      </c>
      <c r="H41" s="277"/>
      <c r="I41" s="278"/>
      <c r="J41" s="249" t="s">
        <v>59</v>
      </c>
      <c r="K41" s="250"/>
      <c r="L41" s="251"/>
      <c r="M41" s="279">
        <f>_xlfn.IFNA(VLOOKUP(B41, 현재가테이블!$B$2:$D$200, 3, FALSE), "-")</f>
        <v>-1.4936000099999999E-2</v>
      </c>
      <c r="N41" s="280"/>
      <c r="O41" s="281"/>
      <c r="Q41" s="270"/>
      <c r="R41" s="270"/>
      <c r="S41" s="270"/>
    </row>
    <row r="42" spans="1:19" ht="17.25" customHeight="1" thickBot="1">
      <c r="A42" s="293" t="s">
        <v>55</v>
      </c>
      <c r="B42" s="295" t="str">
        <f>TEXT($G$1, "[$-ko-KR]yyyy-mm-dd(ddd) ") &amp; "오전 00:00"</f>
        <v>2021-04-01(목) 오전 00:00</v>
      </c>
      <c r="C42" s="296"/>
      <c r="D42" s="272" t="str">
        <f>TEXT($G$1, "[$-ko-KR]yyyy-mm-dd(ddd) ") &amp; "오후 14:00"</f>
        <v>2021-04-01(목) 오후 14:00</v>
      </c>
      <c r="E42" s="273"/>
      <c r="F42" s="274"/>
      <c r="G42" s="272" t="str">
        <f>TEXT($G$1, "[$-ko-KR]yyyy-mm-dd(ddd) ") &amp; "오후 19:00"</f>
        <v>2021-04-01(목) 오후 19:00</v>
      </c>
      <c r="H42" s="273"/>
      <c r="I42" s="274"/>
      <c r="J42" s="272" t="str">
        <f>TEXT($G$1, "[$-ko-KR]yyyy-mm-dd(ddd) ") &amp; "오후 21:00"</f>
        <v>2021-04-01(목) 오후 21:00</v>
      </c>
      <c r="K42" s="273"/>
      <c r="L42" s="274"/>
      <c r="M42" s="272" t="str">
        <f>TEXT($G$1+1, "[$-ko-KR]yyyy-mm-dd(ddd) ") &amp; "오전 00:00"</f>
        <v>2021-04-02(금) 오전 00:00</v>
      </c>
      <c r="N42" s="273"/>
      <c r="O42" s="274"/>
      <c r="Q42" s="270"/>
      <c r="R42" s="270"/>
      <c r="S42" s="270"/>
    </row>
    <row r="43" spans="1:19" ht="17.25" customHeight="1" thickBot="1">
      <c r="A43" s="294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75"/>
      <c r="R43" s="275"/>
      <c r="S43" s="275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96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70"/>
      <c r="R44" s="270"/>
      <c r="S44" s="270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97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70"/>
      <c r="R45" s="270"/>
      <c r="S45" s="270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97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75"/>
      <c r="R46" s="275"/>
      <c r="S46" s="275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97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75"/>
      <c r="R47" s="275"/>
      <c r="S47" s="275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1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75"/>
      <c r="R48" s="275"/>
      <c r="S48" s="275"/>
    </row>
    <row r="49" spans="1:19" ht="17.25" customHeight="1" thickBot="1">
      <c r="A49" s="17"/>
      <c r="B49" s="102"/>
      <c r="C49" s="103"/>
      <c r="D49" s="102"/>
      <c r="E49" s="103" t="str">
        <f>IF(ISNUMBER(D49), (D49 - $B49) / $B49, "")</f>
        <v/>
      </c>
      <c r="F49" s="104" t="str">
        <f>IF(ISNUMBER(D49), $B64 * E49, "")</f>
        <v/>
      </c>
      <c r="G49" s="105"/>
      <c r="H49" s="103" t="str">
        <f>IF(ISNUMBER(G49), (G49 - $B49) / $B49, "")</f>
        <v/>
      </c>
      <c r="I49" s="106" t="str">
        <f>IF(ISNUMBER(G49), $B64 * H49, "")</f>
        <v/>
      </c>
      <c r="J49" s="102"/>
      <c r="K49" s="103" t="str">
        <f>IF(ISNUMBER(J49), (J49 - $B49) / $B49, "")</f>
        <v/>
      </c>
      <c r="L49" s="104" t="str">
        <f>IF(ISNUMBER(J49), $B64 * K49, "")</f>
        <v/>
      </c>
      <c r="M49" s="105"/>
      <c r="N49" s="103" t="str">
        <f>IF(ISNUMBER(M49), (M49 - $B49) / $B49, "")</f>
        <v/>
      </c>
      <c r="O49" s="104" t="str">
        <f>IF(ISNUMBER(M49), $B64 * N49, "")</f>
        <v/>
      </c>
      <c r="Q49" s="275"/>
      <c r="R49" s="275"/>
      <c r="S49" s="275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97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75"/>
      <c r="R50" s="275"/>
      <c r="S50" s="275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97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75"/>
      <c r="R51" s="275"/>
      <c r="S51" s="275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97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0" t="str">
        <f>IF(ISNUMBER(D53), $B64 * E53, "")</f>
        <v/>
      </c>
      <c r="G53" s="98"/>
      <c r="H53" s="25" t="str">
        <f t="shared" si="19"/>
        <v/>
      </c>
      <c r="I53" s="99" t="str">
        <f>IF(ISNUMBER(G53), $B64 * H53, "")</f>
        <v/>
      </c>
      <c r="J53" s="24"/>
      <c r="K53" s="25" t="str">
        <f t="shared" si="20"/>
        <v/>
      </c>
      <c r="L53" s="100" t="str">
        <f>IF(ISNUMBER(J53), $B64 * K53, "")</f>
        <v/>
      </c>
      <c r="M53" s="98"/>
      <c r="N53" s="25" t="str">
        <f t="shared" si="21"/>
        <v/>
      </c>
      <c r="O53" s="100" t="str">
        <f>IF(ISNUMBER(M53), $B64 * N53, "")</f>
        <v/>
      </c>
      <c r="Q53" s="284"/>
      <c r="R53" s="285"/>
      <c r="S53" s="286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96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87"/>
      <c r="R54" s="288"/>
      <c r="S54" s="289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97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90"/>
      <c r="R55" s="291"/>
      <c r="S55" s="292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97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75"/>
      <c r="R56" s="275"/>
      <c r="S56" s="275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97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70"/>
      <c r="R57" s="270"/>
      <c r="S57" s="270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1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70"/>
      <c r="R58" s="270"/>
      <c r="S58" s="270"/>
    </row>
    <row r="59" spans="1:19" ht="17.25" customHeight="1" thickBot="1">
      <c r="A59" s="17"/>
      <c r="B59" s="102"/>
      <c r="C59" s="103"/>
      <c r="D59" s="102"/>
      <c r="E59" s="103" t="str">
        <f>IF(ISNUMBER(D59), (D59 - $B59) / $B59, "")</f>
        <v/>
      </c>
      <c r="F59" s="104" t="str">
        <f>IF(ISNUMBER(D59), $B64 * E59, "")</f>
        <v/>
      </c>
      <c r="G59" s="105"/>
      <c r="H59" s="103" t="str">
        <f>IF(ISNUMBER(G59), (G59 - $B59) / $B59, "")</f>
        <v/>
      </c>
      <c r="I59" s="106" t="str">
        <f>IF(ISNUMBER(G59), $B64 * H59, "")</f>
        <v/>
      </c>
      <c r="J59" s="102"/>
      <c r="K59" s="103" t="str">
        <f>IF(ISNUMBER(J59), (J59 - $B59) / $B59, "")</f>
        <v/>
      </c>
      <c r="L59" s="104" t="str">
        <f>IF(ISNUMBER(J59), $B64 * K59, "")</f>
        <v/>
      </c>
      <c r="M59" s="105"/>
      <c r="N59" s="103" t="str">
        <f>IF(ISNUMBER(M59), (M59 - $B59) / $B59, "")</f>
        <v/>
      </c>
      <c r="O59" s="104" t="str">
        <f>IF(ISNUMBER(M59), $B64 * N59, "")</f>
        <v/>
      </c>
      <c r="Q59" s="275"/>
      <c r="R59" s="275"/>
      <c r="S59" s="275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97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75"/>
      <c r="R60" s="275"/>
      <c r="S60" s="275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97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75"/>
      <c r="R61" s="275"/>
      <c r="S61" s="275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97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97"/>
      <c r="R62" s="298"/>
      <c r="S62" s="299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0" t="str">
        <f>IF(ISNUMBER(D63), $B64 * E63, "")</f>
        <v/>
      </c>
      <c r="G63" s="98"/>
      <c r="H63" s="25" t="str">
        <f t="shared" si="27"/>
        <v/>
      </c>
      <c r="I63" s="99" t="str">
        <f>IF(ISNUMBER(G63), $B64 * H63, "")</f>
        <v/>
      </c>
      <c r="J63" s="24"/>
      <c r="K63" s="25" t="str">
        <f t="shared" si="28"/>
        <v/>
      </c>
      <c r="L63" s="100" t="str">
        <f>IF(ISNUMBER(J63), $B64 * K63, "")</f>
        <v/>
      </c>
      <c r="M63" s="98"/>
      <c r="N63" s="25" t="str">
        <f t="shared" si="29"/>
        <v/>
      </c>
      <c r="O63" s="100" t="str">
        <f>IF(ISNUMBER(M63), $B64 * N63, "")</f>
        <v/>
      </c>
      <c r="Q63" s="300"/>
      <c r="R63" s="301"/>
      <c r="S63" s="302"/>
    </row>
    <row r="64" spans="1:19" ht="17.25" customHeight="1" thickBot="1">
      <c r="A64" s="26" t="s">
        <v>301</v>
      </c>
      <c r="B64" s="306">
        <f>$B$37</f>
        <v>300000</v>
      </c>
      <c r="C64" s="307"/>
      <c r="D64" s="26" t="s">
        <v>302</v>
      </c>
      <c r="E64" s="27">
        <f>IF(COUNT(E44:E63), SUM(E44:E63) / COUNT(E44:E63), 0)</f>
        <v>0</v>
      </c>
      <c r="F64" s="28">
        <f>SUM(F44:F63)</f>
        <v>0</v>
      </c>
      <c r="G64" s="26" t="s">
        <v>302</v>
      </c>
      <c r="H64" s="27">
        <f>IF(COUNT(H44:H63), SUM(H44:H63) / COUNT(H44:H63), 0)</f>
        <v>0</v>
      </c>
      <c r="I64" s="28">
        <f>SUM(I44:I63)</f>
        <v>0</v>
      </c>
      <c r="J64" s="26" t="s">
        <v>302</v>
      </c>
      <c r="K64" s="27">
        <f>IF(COUNT(K44:K63), SUM(K44:K63) / COUNT(K44:K63), 0)</f>
        <v>0</v>
      </c>
      <c r="L64" s="28">
        <f>SUM(L44:L63)</f>
        <v>0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303"/>
      <c r="R64" s="304"/>
      <c r="S64" s="305"/>
    </row>
    <row r="65" spans="1:19" ht="17.25" customHeight="1"/>
    <row r="66" spans="1:19" ht="17.25" customHeight="1" thickBot="1"/>
    <row r="67" spans="1:19" ht="17.25" thickBot="1">
      <c r="A67" s="249" t="s">
        <v>45</v>
      </c>
      <c r="B67" s="250"/>
      <c r="C67" s="250"/>
      <c r="D67" s="250"/>
      <c r="E67" s="250"/>
      <c r="F67" s="250"/>
      <c r="G67" s="250"/>
      <c r="H67" s="250"/>
      <c r="I67" s="250"/>
      <c r="J67" s="250"/>
      <c r="K67" s="250"/>
      <c r="L67" s="250"/>
      <c r="M67" s="250"/>
      <c r="N67" s="250"/>
      <c r="O67" s="251"/>
      <c r="Q67" s="270"/>
      <c r="R67" s="270"/>
      <c r="S67" s="270"/>
    </row>
    <row r="68" spans="1:19" ht="17.25" thickBot="1">
      <c r="A68" s="107" t="s">
        <v>298</v>
      </c>
      <c r="B68" s="249" t="s">
        <v>49</v>
      </c>
      <c r="C68" s="251"/>
      <c r="D68" s="249" t="s">
        <v>58</v>
      </c>
      <c r="E68" s="250"/>
      <c r="F68" s="251"/>
      <c r="G68" s="276">
        <f>_xlfn.IFNA(VLOOKUP(B68, 현재가테이블!$B$2:$D$200, 2, FALSE), "-")</f>
        <v>60874000</v>
      </c>
      <c r="H68" s="277"/>
      <c r="I68" s="278"/>
      <c r="J68" s="249" t="s">
        <v>59</v>
      </c>
      <c r="K68" s="250"/>
      <c r="L68" s="251"/>
      <c r="M68" s="279">
        <f>_xlfn.IFNA(VLOOKUP(B68, 현재가테이블!$B$2:$D$200, 3, FALSE), "-")</f>
        <v>-1.4936000099999999E-2</v>
      </c>
      <c r="N68" s="280"/>
      <c r="O68" s="281"/>
      <c r="Q68" s="270"/>
      <c r="R68" s="270"/>
      <c r="S68" s="270"/>
    </row>
    <row r="69" spans="1:19" ht="17.25" thickBot="1">
      <c r="A69" s="293" t="s">
        <v>55</v>
      </c>
      <c r="B69" s="295" t="str">
        <f>TEXT($G$1, "[$-ko-KR]yyyy-mm-dd(ddd) ") &amp; "오전 00:00"</f>
        <v>2021-04-01(목) 오전 00:00</v>
      </c>
      <c r="C69" s="296"/>
      <c r="D69" s="272" t="str">
        <f>TEXT($G$1, "[$-ko-KR]yyyy-mm-dd(ddd) ") &amp; "오후 14:00"</f>
        <v>2021-04-01(목) 오후 14:00</v>
      </c>
      <c r="E69" s="273"/>
      <c r="F69" s="274"/>
      <c r="G69" s="272" t="str">
        <f>TEXT($G$1, "[$-ko-KR]yyyy-mm-dd(ddd) ") &amp; "오후 19:00"</f>
        <v>2021-04-01(목) 오후 19:00</v>
      </c>
      <c r="H69" s="273"/>
      <c r="I69" s="274"/>
      <c r="J69" s="272" t="str">
        <f>TEXT($G$1, "[$-ko-KR]yyyy-mm-dd(ddd) ") &amp; "오후 21:00"</f>
        <v>2021-04-01(목) 오후 21:00</v>
      </c>
      <c r="K69" s="273"/>
      <c r="L69" s="274"/>
      <c r="M69" s="272" t="str">
        <f>TEXT($G$1+1, "[$-ko-KR]yyyy-mm-dd(ddd) ") &amp; "오전 00:00"</f>
        <v>2021-04-02(금) 오전 00:00</v>
      </c>
      <c r="N69" s="273"/>
      <c r="O69" s="274"/>
      <c r="Q69" s="270"/>
      <c r="R69" s="270"/>
      <c r="S69" s="270"/>
    </row>
    <row r="70" spans="1:19" ht="17.25" thickBot="1">
      <c r="A70" s="294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75"/>
      <c r="R70" s="275"/>
      <c r="S70" s="275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96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70"/>
      <c r="R71" s="270"/>
      <c r="S71" s="270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97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70"/>
      <c r="R72" s="270"/>
      <c r="S72" s="270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97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75"/>
      <c r="R73" s="275"/>
      <c r="S73" s="275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97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75"/>
      <c r="R74" s="275"/>
      <c r="S74" s="275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1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75"/>
      <c r="R75" s="275"/>
      <c r="S75" s="275"/>
    </row>
    <row r="76" spans="1:19" ht="17.25" thickBot="1">
      <c r="A76" s="17"/>
      <c r="B76" s="102"/>
      <c r="C76" s="103"/>
      <c r="D76" s="102"/>
      <c r="E76" s="103" t="str">
        <f>IF(ISNUMBER(D76), (D76 - $B76) / $B76, "")</f>
        <v/>
      </c>
      <c r="F76" s="104" t="str">
        <f>IF(ISNUMBER(D76), $B91 * E76, "")</f>
        <v/>
      </c>
      <c r="G76" s="105"/>
      <c r="H76" s="103" t="str">
        <f>IF(ISNUMBER(G76), (G76 - $B76) / $B76, "")</f>
        <v/>
      </c>
      <c r="I76" s="106" t="str">
        <f>IF(ISNUMBER(G76), $B91 * H76, "")</f>
        <v/>
      </c>
      <c r="J76" s="102"/>
      <c r="K76" s="103" t="str">
        <f>IF(ISNUMBER(J76), (J76 - $B76) / $B76, "")</f>
        <v/>
      </c>
      <c r="L76" s="104" t="str">
        <f>IF(ISNUMBER(J76), $B91 * K76, "")</f>
        <v/>
      </c>
      <c r="M76" s="105"/>
      <c r="N76" s="103" t="str">
        <f>IF(ISNUMBER(M76), (M76 - $B76) / $B76, "")</f>
        <v/>
      </c>
      <c r="O76" s="104" t="str">
        <f>IF(ISNUMBER(M76), $B91 * N76, "")</f>
        <v/>
      </c>
      <c r="Q76" s="275"/>
      <c r="R76" s="275"/>
      <c r="S76" s="275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97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75"/>
      <c r="R77" s="275"/>
      <c r="S77" s="275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97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75"/>
      <c r="R78" s="275"/>
      <c r="S78" s="275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97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0" t="str">
        <f>IF(ISNUMBER(D80), $B91 * E80, "")</f>
        <v/>
      </c>
      <c r="G80" s="98"/>
      <c r="H80" s="25" t="str">
        <f t="shared" si="35"/>
        <v/>
      </c>
      <c r="I80" s="99" t="str">
        <f>IF(ISNUMBER(G80), $B91 * H80, "")</f>
        <v/>
      </c>
      <c r="J80" s="24"/>
      <c r="K80" s="25" t="str">
        <f t="shared" si="36"/>
        <v/>
      </c>
      <c r="L80" s="100" t="str">
        <f>IF(ISNUMBER(J80), $B91 * K80, "")</f>
        <v/>
      </c>
      <c r="M80" s="98"/>
      <c r="N80" s="25" t="str">
        <f t="shared" si="37"/>
        <v/>
      </c>
      <c r="O80" s="100" t="str">
        <f>IF(ISNUMBER(M80), $B91 * N80, "")</f>
        <v/>
      </c>
      <c r="Q80" s="284"/>
      <c r="R80" s="285"/>
      <c r="S80" s="286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96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87"/>
      <c r="R81" s="288"/>
      <c r="S81" s="289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97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90"/>
      <c r="R82" s="291"/>
      <c r="S82" s="292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97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75"/>
      <c r="R83" s="275"/>
      <c r="S83" s="275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97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70"/>
      <c r="R84" s="270"/>
      <c r="S84" s="270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1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70"/>
      <c r="R85" s="270"/>
      <c r="S85" s="270"/>
    </row>
    <row r="86" spans="1:19" ht="17.25" thickBot="1">
      <c r="A86" s="17"/>
      <c r="B86" s="102"/>
      <c r="C86" s="103"/>
      <c r="D86" s="102"/>
      <c r="E86" s="103" t="str">
        <f>IF(ISNUMBER(D86), (D86 - $B86) / $B86, "")</f>
        <v/>
      </c>
      <c r="F86" s="104" t="str">
        <f>IF(ISNUMBER(D86), $B91 * E86, "")</f>
        <v/>
      </c>
      <c r="G86" s="105"/>
      <c r="H86" s="103" t="str">
        <f>IF(ISNUMBER(G86), (G86 - $B86) / $B86, "")</f>
        <v/>
      </c>
      <c r="I86" s="106" t="str">
        <f>IF(ISNUMBER(G86), $B91 * H86, "")</f>
        <v/>
      </c>
      <c r="J86" s="102"/>
      <c r="K86" s="103" t="str">
        <f>IF(ISNUMBER(J86), (J86 - $B86) / $B86, "")</f>
        <v/>
      </c>
      <c r="L86" s="104" t="str">
        <f>IF(ISNUMBER(J86), $B91 * K86, "")</f>
        <v/>
      </c>
      <c r="M86" s="105"/>
      <c r="N86" s="103" t="str">
        <f>IF(ISNUMBER(M86), (M86 - $B86) / $B86, "")</f>
        <v/>
      </c>
      <c r="O86" s="104" t="str">
        <f>IF(ISNUMBER(M86), $B91 * N86, "")</f>
        <v/>
      </c>
      <c r="Q86" s="275"/>
      <c r="R86" s="275"/>
      <c r="S86" s="275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97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75"/>
      <c r="R87" s="275"/>
      <c r="S87" s="275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97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75"/>
      <c r="R88" s="275"/>
      <c r="S88" s="275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97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97"/>
      <c r="R89" s="298"/>
      <c r="S89" s="299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0" t="str">
        <f>IF(ISNUMBER(D90), $B91 * E90, "")</f>
        <v/>
      </c>
      <c r="G90" s="98"/>
      <c r="H90" s="25" t="str">
        <f t="shared" si="43"/>
        <v/>
      </c>
      <c r="I90" s="99" t="str">
        <f>IF(ISNUMBER(G90), $B91 * H90, "")</f>
        <v/>
      </c>
      <c r="J90" s="24"/>
      <c r="K90" s="25" t="str">
        <f t="shared" si="44"/>
        <v/>
      </c>
      <c r="L90" s="100" t="str">
        <f>IF(ISNUMBER(J90), $B91 * K90, "")</f>
        <v/>
      </c>
      <c r="M90" s="98"/>
      <c r="N90" s="25" t="str">
        <f t="shared" si="45"/>
        <v/>
      </c>
      <c r="O90" s="100" t="str">
        <f>IF(ISNUMBER(M90), $B91 * N90, "")</f>
        <v/>
      </c>
      <c r="Q90" s="300"/>
      <c r="R90" s="301"/>
      <c r="S90" s="302"/>
    </row>
    <row r="91" spans="1:19" ht="17.25" thickBot="1">
      <c r="A91" s="26" t="s">
        <v>301</v>
      </c>
      <c r="B91" s="306">
        <f>$B$37</f>
        <v>300000</v>
      </c>
      <c r="C91" s="307"/>
      <c r="D91" s="26" t="s">
        <v>302</v>
      </c>
      <c r="E91" s="27">
        <f>IF(COUNT(E71:E90), SUM(E71:E90) / COUNT(E71:E90), 0)</f>
        <v>0</v>
      </c>
      <c r="F91" s="28">
        <f>SUM(F71:F90)</f>
        <v>0</v>
      </c>
      <c r="G91" s="26" t="s">
        <v>302</v>
      </c>
      <c r="H91" s="27">
        <f>IF(COUNT(H71:H90), SUM(H71:H90) / COUNT(H71:H90), 0)</f>
        <v>0</v>
      </c>
      <c r="I91" s="28">
        <f>SUM(I71:I90)</f>
        <v>0</v>
      </c>
      <c r="J91" s="26" t="s">
        <v>302</v>
      </c>
      <c r="K91" s="27">
        <f>IF(COUNT(K71:K90), SUM(K71:K90) / COUNT(K71:K90), 0)</f>
        <v>0</v>
      </c>
      <c r="L91" s="28">
        <f>SUM(L71:L90)</f>
        <v>0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303"/>
      <c r="R91" s="304"/>
      <c r="S91" s="305"/>
    </row>
    <row r="93" spans="1:19" ht="17.25" thickBot="1"/>
    <row r="94" spans="1:19" ht="17.25" thickBot="1">
      <c r="A94" s="249" t="s">
        <v>46</v>
      </c>
      <c r="B94" s="250"/>
      <c r="C94" s="250"/>
      <c r="D94" s="250"/>
      <c r="E94" s="250"/>
      <c r="F94" s="250"/>
      <c r="G94" s="250"/>
      <c r="H94" s="250"/>
      <c r="I94" s="250"/>
      <c r="J94" s="250"/>
      <c r="K94" s="250"/>
      <c r="L94" s="250"/>
      <c r="M94" s="250"/>
      <c r="N94" s="250"/>
      <c r="O94" s="251"/>
      <c r="Q94" s="270"/>
      <c r="R94" s="270"/>
      <c r="S94" s="270"/>
    </row>
    <row r="95" spans="1:19" ht="17.25" thickBot="1">
      <c r="A95" s="107" t="s">
        <v>298</v>
      </c>
      <c r="B95" s="249" t="s">
        <v>49</v>
      </c>
      <c r="C95" s="251"/>
      <c r="D95" s="249" t="s">
        <v>58</v>
      </c>
      <c r="E95" s="250"/>
      <c r="F95" s="251"/>
      <c r="G95" s="276">
        <f>_xlfn.IFNA(VLOOKUP(B95, 현재가테이블!$B$2:$D$200, 2, FALSE), "-")</f>
        <v>60874000</v>
      </c>
      <c r="H95" s="277"/>
      <c r="I95" s="278"/>
      <c r="J95" s="249" t="s">
        <v>59</v>
      </c>
      <c r="K95" s="250"/>
      <c r="L95" s="251"/>
      <c r="M95" s="279">
        <f>_xlfn.IFNA(VLOOKUP(B95, 현재가테이블!$B$2:$D$200, 3, FALSE), "-")</f>
        <v>-1.4936000099999999E-2</v>
      </c>
      <c r="N95" s="280"/>
      <c r="O95" s="281"/>
      <c r="Q95" s="270"/>
      <c r="R95" s="270"/>
      <c r="S95" s="270"/>
    </row>
    <row r="96" spans="1:19" ht="17.25" thickBot="1">
      <c r="A96" s="293" t="s">
        <v>55</v>
      </c>
      <c r="B96" s="295" t="str">
        <f>TEXT($G$1, "[$-ko-KR]yyyy-mm-dd(ddd) ") &amp; "오전 00:00"</f>
        <v>2021-04-01(목) 오전 00:00</v>
      </c>
      <c r="C96" s="296"/>
      <c r="D96" s="272" t="str">
        <f>TEXT($G$1, "[$-ko-KR]yyyy-mm-dd(ddd) ") &amp; "오후 14:00"</f>
        <v>2021-04-01(목) 오후 14:00</v>
      </c>
      <c r="E96" s="273"/>
      <c r="F96" s="274"/>
      <c r="G96" s="272" t="str">
        <f>TEXT($G$1, "[$-ko-KR]yyyy-mm-dd(ddd) ") &amp; "오후 19:00"</f>
        <v>2021-04-01(목) 오후 19:00</v>
      </c>
      <c r="H96" s="273"/>
      <c r="I96" s="274"/>
      <c r="J96" s="272" t="str">
        <f>TEXT($G$1, "[$-ko-KR]yyyy-mm-dd(ddd) ") &amp; "오후 21:00"</f>
        <v>2021-04-01(목) 오후 21:00</v>
      </c>
      <c r="K96" s="273"/>
      <c r="L96" s="274"/>
      <c r="M96" s="272" t="str">
        <f>TEXT($G$1+1, "[$-ko-KR]yyyy-mm-dd(ddd) ") &amp; "오전 00:00"</f>
        <v>2021-04-02(금) 오전 00:00</v>
      </c>
      <c r="N96" s="273"/>
      <c r="O96" s="274"/>
      <c r="Q96" s="270"/>
      <c r="R96" s="270"/>
      <c r="S96" s="270"/>
    </row>
    <row r="97" spans="1:19" ht="17.25" thickBot="1">
      <c r="A97" s="294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75"/>
      <c r="R97" s="275"/>
      <c r="S97" s="275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96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70"/>
      <c r="R98" s="270"/>
      <c r="S98" s="270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97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70"/>
      <c r="R99" s="270"/>
      <c r="S99" s="270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97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75"/>
      <c r="R100" s="275"/>
      <c r="S100" s="275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97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75"/>
      <c r="R101" s="275"/>
      <c r="S101" s="275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1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75"/>
      <c r="R102" s="275"/>
      <c r="S102" s="275"/>
    </row>
    <row r="103" spans="1:19" ht="17.25" thickBot="1">
      <c r="A103" s="17"/>
      <c r="B103" s="102"/>
      <c r="C103" s="103"/>
      <c r="D103" s="102"/>
      <c r="E103" s="103" t="str">
        <f>IF(ISNUMBER(D103), (D103 - $B103) / $B103, "")</f>
        <v/>
      </c>
      <c r="F103" s="104" t="str">
        <f>IF(ISNUMBER(D103), $B118 * E103, "")</f>
        <v/>
      </c>
      <c r="G103" s="105"/>
      <c r="H103" s="103" t="str">
        <f>IF(ISNUMBER(G103), (G103 - $B103) / $B103, "")</f>
        <v/>
      </c>
      <c r="I103" s="106" t="str">
        <f>IF(ISNUMBER(G103), $B118 * H103, "")</f>
        <v/>
      </c>
      <c r="J103" s="102"/>
      <c r="K103" s="103" t="str">
        <f>IF(ISNUMBER(J103), (J103 - $B103) / $B103, "")</f>
        <v/>
      </c>
      <c r="L103" s="104" t="str">
        <f>IF(ISNUMBER(J103), $B118 * K103, "")</f>
        <v/>
      </c>
      <c r="M103" s="105"/>
      <c r="N103" s="103" t="str">
        <f>IF(ISNUMBER(M103), (M103 - $B103) / $B103, "")</f>
        <v/>
      </c>
      <c r="O103" s="104" t="str">
        <f>IF(ISNUMBER(M103), $B118 * N103, "")</f>
        <v/>
      </c>
      <c r="Q103" s="275"/>
      <c r="R103" s="275"/>
      <c r="S103" s="275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97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75"/>
      <c r="R104" s="275"/>
      <c r="S104" s="275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97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75"/>
      <c r="R105" s="275"/>
      <c r="S105" s="275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97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0" t="str">
        <f>IF(ISNUMBER(D107), $B118 * E107, "")</f>
        <v/>
      </c>
      <c r="G107" s="98"/>
      <c r="H107" s="25" t="str">
        <f t="shared" si="51"/>
        <v/>
      </c>
      <c r="I107" s="99" t="str">
        <f>IF(ISNUMBER(G107), $B118 * H107, "")</f>
        <v/>
      </c>
      <c r="J107" s="24"/>
      <c r="K107" s="25" t="str">
        <f t="shared" si="52"/>
        <v/>
      </c>
      <c r="L107" s="100" t="str">
        <f>IF(ISNUMBER(J107), $B118 * K107, "")</f>
        <v/>
      </c>
      <c r="M107" s="98"/>
      <c r="N107" s="25" t="str">
        <f t="shared" si="53"/>
        <v/>
      </c>
      <c r="O107" s="100" t="str">
        <f>IF(ISNUMBER(M107), $B118 * N107, "")</f>
        <v/>
      </c>
      <c r="Q107" s="284"/>
      <c r="R107" s="285"/>
      <c r="S107" s="286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96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87"/>
      <c r="R108" s="288"/>
      <c r="S108" s="289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97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90"/>
      <c r="R109" s="291"/>
      <c r="S109" s="292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97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75"/>
      <c r="R110" s="275"/>
      <c r="S110" s="275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97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70"/>
      <c r="R111" s="270"/>
      <c r="S111" s="270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1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70"/>
      <c r="R112" s="270"/>
      <c r="S112" s="270"/>
    </row>
    <row r="113" spans="1:19" ht="17.25" thickBot="1">
      <c r="A113" s="17"/>
      <c r="B113" s="102"/>
      <c r="C113" s="103"/>
      <c r="D113" s="102"/>
      <c r="E113" s="103" t="str">
        <f>IF(ISNUMBER(D113), (D113 - $B113) / $B113, "")</f>
        <v/>
      </c>
      <c r="F113" s="104" t="str">
        <f>IF(ISNUMBER(D113), $B118 * E113, "")</f>
        <v/>
      </c>
      <c r="G113" s="105"/>
      <c r="H113" s="103" t="str">
        <f>IF(ISNUMBER(G113), (G113 - $B113) / $B113, "")</f>
        <v/>
      </c>
      <c r="I113" s="106" t="str">
        <f>IF(ISNUMBER(G113), $B118 * H113, "")</f>
        <v/>
      </c>
      <c r="J113" s="102"/>
      <c r="K113" s="103" t="str">
        <f>IF(ISNUMBER(J113), (J113 - $B113) / $B113, "")</f>
        <v/>
      </c>
      <c r="L113" s="104" t="str">
        <f>IF(ISNUMBER(J113), $B118 * K113, "")</f>
        <v/>
      </c>
      <c r="M113" s="105"/>
      <c r="N113" s="103" t="str">
        <f>IF(ISNUMBER(M113), (M113 - $B113) / $B113, "")</f>
        <v/>
      </c>
      <c r="O113" s="104" t="str">
        <f>IF(ISNUMBER(M113), $B118 * N113, "")</f>
        <v/>
      </c>
      <c r="Q113" s="275"/>
      <c r="R113" s="275"/>
      <c r="S113" s="275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97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75"/>
      <c r="R114" s="275"/>
      <c r="S114" s="275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97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75"/>
      <c r="R115" s="275"/>
      <c r="S115" s="275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97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97"/>
      <c r="R116" s="298"/>
      <c r="S116" s="299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0" t="str">
        <f>IF(ISNUMBER(D117), $B118 * E117, "")</f>
        <v/>
      </c>
      <c r="G117" s="98"/>
      <c r="H117" s="25" t="str">
        <f t="shared" si="59"/>
        <v/>
      </c>
      <c r="I117" s="99" t="str">
        <f>IF(ISNUMBER(G117), $B118 * H117, "")</f>
        <v/>
      </c>
      <c r="J117" s="24"/>
      <c r="K117" s="25" t="str">
        <f t="shared" si="60"/>
        <v/>
      </c>
      <c r="L117" s="100" t="str">
        <f>IF(ISNUMBER(J117), $B118 * K117, "")</f>
        <v/>
      </c>
      <c r="M117" s="98"/>
      <c r="N117" s="25" t="str">
        <f t="shared" si="61"/>
        <v/>
      </c>
      <c r="O117" s="100" t="str">
        <f>IF(ISNUMBER(M117), $B118 * N117, "")</f>
        <v/>
      </c>
      <c r="Q117" s="300"/>
      <c r="R117" s="301"/>
      <c r="S117" s="302"/>
    </row>
    <row r="118" spans="1:19" ht="17.25" thickBot="1">
      <c r="A118" s="26" t="s">
        <v>301</v>
      </c>
      <c r="B118" s="306">
        <f>$B$37</f>
        <v>300000</v>
      </c>
      <c r="C118" s="307"/>
      <c r="D118" s="26" t="s">
        <v>302</v>
      </c>
      <c r="E118" s="27">
        <f>IF(COUNT(E98:E117), SUM(E98:E117) / COUNT(E98:E117), 0)</f>
        <v>0</v>
      </c>
      <c r="F118" s="28">
        <f>SUM(F98:F117)</f>
        <v>0</v>
      </c>
      <c r="G118" s="26" t="s">
        <v>302</v>
      </c>
      <c r="H118" s="27">
        <f>IF(COUNT(H98:H117), SUM(H98:H117) / COUNT(H98:H117), 0)</f>
        <v>0</v>
      </c>
      <c r="I118" s="28">
        <f>SUM(I98:I117)</f>
        <v>0</v>
      </c>
      <c r="J118" s="26" t="s">
        <v>302</v>
      </c>
      <c r="K118" s="27">
        <f>IF(COUNT(K98:K117), SUM(K98:K117) / COUNT(K98:K117), 0)</f>
        <v>0</v>
      </c>
      <c r="L118" s="28">
        <f>SUM(L98:L117)</f>
        <v>0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303"/>
      <c r="R118" s="304"/>
      <c r="S118" s="305"/>
    </row>
    <row r="120" spans="1:19" ht="17.25" thickBot="1"/>
    <row r="121" spans="1:19" ht="17.25" thickBot="1">
      <c r="A121" s="249" t="s">
        <v>288</v>
      </c>
      <c r="B121" s="250"/>
      <c r="C121" s="250"/>
      <c r="D121" s="250"/>
      <c r="E121" s="250"/>
      <c r="F121" s="250"/>
      <c r="G121" s="250"/>
      <c r="H121" s="250"/>
      <c r="I121" s="250"/>
      <c r="J121" s="250"/>
      <c r="K121" s="250"/>
      <c r="L121" s="250"/>
      <c r="M121" s="250"/>
      <c r="N121" s="250"/>
      <c r="O121" s="251"/>
      <c r="Q121" s="270"/>
      <c r="R121" s="270"/>
      <c r="S121" s="270"/>
    </row>
    <row r="122" spans="1:19" ht="17.25" thickBot="1">
      <c r="A122" s="107" t="s">
        <v>298</v>
      </c>
      <c r="B122" s="249" t="s">
        <v>49</v>
      </c>
      <c r="C122" s="251"/>
      <c r="D122" s="249" t="s">
        <v>58</v>
      </c>
      <c r="E122" s="250"/>
      <c r="F122" s="251"/>
      <c r="G122" s="276">
        <f>_xlfn.IFNA(VLOOKUP(B122, 현재가테이블!$B$2:$D$200, 2, FALSE), "-")</f>
        <v>60874000</v>
      </c>
      <c r="H122" s="277"/>
      <c r="I122" s="278"/>
      <c r="J122" s="249" t="s">
        <v>59</v>
      </c>
      <c r="K122" s="250"/>
      <c r="L122" s="251"/>
      <c r="M122" s="279">
        <f>_xlfn.IFNA(VLOOKUP(B122, 현재가테이블!$B$2:$D$200, 3, FALSE), "-")</f>
        <v>-1.4936000099999999E-2</v>
      </c>
      <c r="N122" s="280"/>
      <c r="O122" s="281"/>
      <c r="Q122" s="270"/>
      <c r="R122" s="270"/>
      <c r="S122" s="270"/>
    </row>
    <row r="123" spans="1:19" ht="17.25" thickBot="1">
      <c r="A123" s="293" t="s">
        <v>55</v>
      </c>
      <c r="B123" s="295" t="str">
        <f>TEXT($G$1, "[$-ko-KR]yyyy-mm-dd(ddd) ") &amp; "오전 00:00"</f>
        <v>2021-04-01(목) 오전 00:00</v>
      </c>
      <c r="C123" s="296"/>
      <c r="D123" s="272" t="str">
        <f>TEXT($G$1, "[$-ko-KR]yyyy-mm-dd(ddd) ") &amp; "오후 14:00"</f>
        <v>2021-04-01(목) 오후 14:00</v>
      </c>
      <c r="E123" s="273"/>
      <c r="F123" s="274"/>
      <c r="G123" s="272" t="str">
        <f>TEXT($G$1, "[$-ko-KR]yyyy-mm-dd(ddd) ") &amp; "오후 19:00"</f>
        <v>2021-04-01(목) 오후 19:00</v>
      </c>
      <c r="H123" s="273"/>
      <c r="I123" s="274"/>
      <c r="J123" s="272" t="str">
        <f>TEXT($G$1, "[$-ko-KR]yyyy-mm-dd(ddd) ") &amp; "오후 21:00"</f>
        <v>2021-04-01(목) 오후 21:00</v>
      </c>
      <c r="K123" s="273"/>
      <c r="L123" s="274"/>
      <c r="M123" s="272" t="str">
        <f>TEXT($G$1+1, "[$-ko-KR]yyyy-mm-dd(ddd) ") &amp; "오전 00:00"</f>
        <v>2021-04-02(금) 오전 00:00</v>
      </c>
      <c r="N123" s="273"/>
      <c r="O123" s="274"/>
      <c r="Q123" s="270"/>
      <c r="R123" s="270"/>
      <c r="S123" s="270"/>
    </row>
    <row r="124" spans="1:19" ht="17.25" thickBot="1">
      <c r="A124" s="294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75"/>
      <c r="R124" s="275"/>
      <c r="S124" s="275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96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70"/>
      <c r="R125" s="270"/>
      <c r="S125" s="270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97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70"/>
      <c r="R126" s="270"/>
      <c r="S126" s="270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97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75"/>
      <c r="R127" s="275"/>
      <c r="S127" s="275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97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75"/>
      <c r="R128" s="275"/>
      <c r="S128" s="275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1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75"/>
      <c r="R129" s="275"/>
      <c r="S129" s="275"/>
    </row>
    <row r="130" spans="1:19" ht="17.25" thickBot="1">
      <c r="A130" s="17"/>
      <c r="B130" s="102"/>
      <c r="C130" s="103"/>
      <c r="D130" s="102"/>
      <c r="E130" s="103" t="str">
        <f>IF(ISNUMBER(D130), (D130 - $B130) / $B130, "")</f>
        <v/>
      </c>
      <c r="F130" s="104" t="str">
        <f>IF(ISNUMBER(D130), $B145 * E130, "")</f>
        <v/>
      </c>
      <c r="G130" s="105"/>
      <c r="H130" s="103" t="str">
        <f>IF(ISNUMBER(G130), (G130 - $B130) / $B130, "")</f>
        <v/>
      </c>
      <c r="I130" s="106" t="str">
        <f>IF(ISNUMBER(G130), $B145 * H130, "")</f>
        <v/>
      </c>
      <c r="J130" s="102"/>
      <c r="K130" s="103" t="str">
        <f>IF(ISNUMBER(J130), (J130 - $B130) / $B130, "")</f>
        <v/>
      </c>
      <c r="L130" s="104" t="str">
        <f>IF(ISNUMBER(J130), $B145 * K130, "")</f>
        <v/>
      </c>
      <c r="M130" s="105"/>
      <c r="N130" s="103" t="str">
        <f>IF(ISNUMBER(M130), (M130 - $B130) / $B130, "")</f>
        <v/>
      </c>
      <c r="O130" s="104" t="str">
        <f>IF(ISNUMBER(M130), $B145 * N130, "")</f>
        <v/>
      </c>
      <c r="Q130" s="275"/>
      <c r="R130" s="275"/>
      <c r="S130" s="275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97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75"/>
      <c r="R131" s="275"/>
      <c r="S131" s="275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97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75"/>
      <c r="R132" s="275"/>
      <c r="S132" s="275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97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0" t="str">
        <f>IF(ISNUMBER(D134), $B145 * E134, "")</f>
        <v/>
      </c>
      <c r="G134" s="98"/>
      <c r="H134" s="25" t="str">
        <f t="shared" si="67"/>
        <v/>
      </c>
      <c r="I134" s="99" t="str">
        <f>IF(ISNUMBER(G134), $B145 * H134, "")</f>
        <v/>
      </c>
      <c r="J134" s="24"/>
      <c r="K134" s="25" t="str">
        <f t="shared" si="68"/>
        <v/>
      </c>
      <c r="L134" s="100" t="str">
        <f>IF(ISNUMBER(J134), $B145 * K134, "")</f>
        <v/>
      </c>
      <c r="M134" s="98"/>
      <c r="N134" s="25" t="str">
        <f t="shared" si="69"/>
        <v/>
      </c>
      <c r="O134" s="100" t="str">
        <f>IF(ISNUMBER(M134), $B145 * N134, "")</f>
        <v/>
      </c>
      <c r="Q134" s="284"/>
      <c r="R134" s="285"/>
      <c r="S134" s="286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96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87"/>
      <c r="R135" s="288"/>
      <c r="S135" s="289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97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90"/>
      <c r="R136" s="291"/>
      <c r="S136" s="292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97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75"/>
      <c r="R137" s="275"/>
      <c r="S137" s="275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97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70"/>
      <c r="R138" s="270"/>
      <c r="S138" s="270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1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70"/>
      <c r="R139" s="270"/>
      <c r="S139" s="270"/>
    </row>
    <row r="140" spans="1:19" ht="17.25" thickBot="1">
      <c r="A140" s="17"/>
      <c r="B140" s="102"/>
      <c r="C140" s="103"/>
      <c r="D140" s="102"/>
      <c r="E140" s="103" t="str">
        <f>IF(ISNUMBER(D140), (D140 - $B140) / $B140, "")</f>
        <v/>
      </c>
      <c r="F140" s="104" t="str">
        <f>IF(ISNUMBER(D140), $B145 * E140, "")</f>
        <v/>
      </c>
      <c r="G140" s="105"/>
      <c r="H140" s="103" t="str">
        <f>IF(ISNUMBER(G140), (G140 - $B140) / $B140, "")</f>
        <v/>
      </c>
      <c r="I140" s="106" t="str">
        <f>IF(ISNUMBER(G140), $B145 * H140, "")</f>
        <v/>
      </c>
      <c r="J140" s="102"/>
      <c r="K140" s="103" t="str">
        <f>IF(ISNUMBER(J140), (J140 - $B140) / $B140, "")</f>
        <v/>
      </c>
      <c r="L140" s="104" t="str">
        <f>IF(ISNUMBER(J140), $B145 * K140, "")</f>
        <v/>
      </c>
      <c r="M140" s="105"/>
      <c r="N140" s="103" t="str">
        <f>IF(ISNUMBER(M140), (M140 - $B140) / $B140, "")</f>
        <v/>
      </c>
      <c r="O140" s="104" t="str">
        <f>IF(ISNUMBER(M140), $B145 * N140, "")</f>
        <v/>
      </c>
      <c r="Q140" s="275"/>
      <c r="R140" s="275"/>
      <c r="S140" s="275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97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75"/>
      <c r="R141" s="275"/>
      <c r="S141" s="275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97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75"/>
      <c r="R142" s="275"/>
      <c r="S142" s="275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97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97"/>
      <c r="R143" s="298"/>
      <c r="S143" s="299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0" t="str">
        <f>IF(ISNUMBER(D144), $B145 * E144, "")</f>
        <v/>
      </c>
      <c r="G144" s="98"/>
      <c r="H144" s="25" t="str">
        <f t="shared" si="75"/>
        <v/>
      </c>
      <c r="I144" s="99" t="str">
        <f>IF(ISNUMBER(G144), $B145 * H144, "")</f>
        <v/>
      </c>
      <c r="J144" s="24"/>
      <c r="K144" s="25" t="str">
        <f t="shared" si="76"/>
        <v/>
      </c>
      <c r="L144" s="100" t="str">
        <f>IF(ISNUMBER(J144), $B145 * K144, "")</f>
        <v/>
      </c>
      <c r="M144" s="98"/>
      <c r="N144" s="25" t="str">
        <f t="shared" si="77"/>
        <v/>
      </c>
      <c r="O144" s="100" t="str">
        <f>IF(ISNUMBER(M144), $B145 * N144, "")</f>
        <v/>
      </c>
      <c r="Q144" s="300"/>
      <c r="R144" s="301"/>
      <c r="S144" s="302"/>
    </row>
    <row r="145" spans="1:19" ht="17.25" thickBot="1">
      <c r="A145" s="26" t="s">
        <v>301</v>
      </c>
      <c r="B145" s="306">
        <f>$B$37</f>
        <v>300000</v>
      </c>
      <c r="C145" s="307"/>
      <c r="D145" s="26" t="s">
        <v>302</v>
      </c>
      <c r="E145" s="27">
        <f>IF(COUNT(E125:E144), SUM(E125:E144) / COUNT(E125:E144), 0)</f>
        <v>0</v>
      </c>
      <c r="F145" s="28">
        <f>SUM(F125:F144)</f>
        <v>0</v>
      </c>
      <c r="G145" s="26" t="s">
        <v>302</v>
      </c>
      <c r="H145" s="27">
        <f>IF(COUNT(H125:H144), SUM(H125:H144) / COUNT(H125:H144), 0)</f>
        <v>0</v>
      </c>
      <c r="I145" s="28">
        <f>SUM(I125:I144)</f>
        <v>0</v>
      </c>
      <c r="J145" s="26" t="s">
        <v>302</v>
      </c>
      <c r="K145" s="27">
        <f>IF(COUNT(K125:K144), SUM(K125:K144) / COUNT(K125:K144), 0)</f>
        <v>0</v>
      </c>
      <c r="L145" s="28">
        <f>SUM(L125:L144)</f>
        <v>0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303"/>
      <c r="R145" s="304"/>
      <c r="S145" s="305"/>
    </row>
    <row r="147" spans="1:19" ht="17.25" thickBot="1"/>
    <row r="148" spans="1:19" ht="17.25" thickBot="1">
      <c r="A148" s="249" t="s">
        <v>289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1"/>
      <c r="Q148" s="270"/>
      <c r="R148" s="270"/>
      <c r="S148" s="270"/>
    </row>
    <row r="149" spans="1:19" ht="17.25" thickBot="1">
      <c r="A149" s="107" t="s">
        <v>298</v>
      </c>
      <c r="B149" s="249" t="s">
        <v>49</v>
      </c>
      <c r="C149" s="251"/>
      <c r="D149" s="249" t="s">
        <v>58</v>
      </c>
      <c r="E149" s="250"/>
      <c r="F149" s="251"/>
      <c r="G149" s="276">
        <f>_xlfn.IFNA(VLOOKUP(B149, 현재가테이블!$B$2:$D$200, 2, FALSE), "-")</f>
        <v>60874000</v>
      </c>
      <c r="H149" s="277"/>
      <c r="I149" s="278"/>
      <c r="J149" s="249" t="s">
        <v>59</v>
      </c>
      <c r="K149" s="250"/>
      <c r="L149" s="251"/>
      <c r="M149" s="279">
        <f>_xlfn.IFNA(VLOOKUP(B149, 현재가테이블!$B$2:$D$200, 3, FALSE), "-")</f>
        <v>-1.4936000099999999E-2</v>
      </c>
      <c r="N149" s="280"/>
      <c r="O149" s="281"/>
      <c r="Q149" s="270"/>
      <c r="R149" s="270"/>
      <c r="S149" s="270"/>
    </row>
    <row r="150" spans="1:19" ht="17.25" thickBot="1">
      <c r="A150" s="293" t="s">
        <v>55</v>
      </c>
      <c r="B150" s="295" t="str">
        <f>TEXT($G$1, "[$-ko-KR]yyyy-mm-dd(ddd) ") &amp; "오전 00:00"</f>
        <v>2021-04-01(목) 오전 00:00</v>
      </c>
      <c r="C150" s="296"/>
      <c r="D150" s="272" t="str">
        <f>TEXT($G$1, "[$-ko-KR]yyyy-mm-dd(ddd) ") &amp; "오후 14:00"</f>
        <v>2021-04-01(목) 오후 14:00</v>
      </c>
      <c r="E150" s="273"/>
      <c r="F150" s="274"/>
      <c r="G150" s="272" t="str">
        <f>TEXT($G$1, "[$-ko-KR]yyyy-mm-dd(ddd) ") &amp; "오후 19:00"</f>
        <v>2021-04-01(목) 오후 19:00</v>
      </c>
      <c r="H150" s="273"/>
      <c r="I150" s="274"/>
      <c r="J150" s="272" t="str">
        <f>TEXT($G$1, "[$-ko-KR]yyyy-mm-dd(ddd) ") &amp; "오후 21:00"</f>
        <v>2021-04-01(목) 오후 21:00</v>
      </c>
      <c r="K150" s="273"/>
      <c r="L150" s="274"/>
      <c r="M150" s="272" t="str">
        <f>TEXT($G$1+1, "[$-ko-KR]yyyy-mm-dd(ddd) ") &amp; "오전 00:00"</f>
        <v>2021-04-02(금) 오전 00:00</v>
      </c>
      <c r="N150" s="273"/>
      <c r="O150" s="274"/>
      <c r="Q150" s="270"/>
      <c r="R150" s="270"/>
      <c r="S150" s="270"/>
    </row>
    <row r="151" spans="1:19" ht="17.25" thickBot="1">
      <c r="A151" s="294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75"/>
      <c r="R151" s="275"/>
      <c r="S151" s="275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96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70"/>
      <c r="R152" s="270"/>
      <c r="S152" s="270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97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70"/>
      <c r="R153" s="270"/>
      <c r="S153" s="270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97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75"/>
      <c r="R154" s="275"/>
      <c r="S154" s="275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97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75"/>
      <c r="R155" s="275"/>
      <c r="S155" s="275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1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75"/>
      <c r="R156" s="275"/>
      <c r="S156" s="275"/>
    </row>
    <row r="157" spans="1:19" ht="17.25" thickBot="1">
      <c r="A157" s="17"/>
      <c r="B157" s="102"/>
      <c r="C157" s="103"/>
      <c r="D157" s="102"/>
      <c r="E157" s="103" t="str">
        <f>IF(ISNUMBER(D157), (D157 - $B157) / $B157, "")</f>
        <v/>
      </c>
      <c r="F157" s="104" t="str">
        <f>IF(ISNUMBER(D157), $B172 * E157, "")</f>
        <v/>
      </c>
      <c r="G157" s="105"/>
      <c r="H157" s="103" t="str">
        <f>IF(ISNUMBER(G157), (G157 - $B157) / $B157, "")</f>
        <v/>
      </c>
      <c r="I157" s="106" t="str">
        <f>IF(ISNUMBER(G157), $B172 * H157, "")</f>
        <v/>
      </c>
      <c r="J157" s="102"/>
      <c r="K157" s="103" t="str">
        <f>IF(ISNUMBER(J157), (J157 - $B157) / $B157, "")</f>
        <v/>
      </c>
      <c r="L157" s="104" t="str">
        <f>IF(ISNUMBER(J157), $B172 * K157, "")</f>
        <v/>
      </c>
      <c r="M157" s="105"/>
      <c r="N157" s="103" t="str">
        <f>IF(ISNUMBER(M157), (M157 - $B157) / $B157, "")</f>
        <v/>
      </c>
      <c r="O157" s="104" t="str">
        <f>IF(ISNUMBER(M157), $B172 * N157, "")</f>
        <v/>
      </c>
      <c r="Q157" s="275"/>
      <c r="R157" s="275"/>
      <c r="S157" s="275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97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75"/>
      <c r="R158" s="275"/>
      <c r="S158" s="275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97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75"/>
      <c r="R159" s="275"/>
      <c r="S159" s="275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97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0" t="str">
        <f>IF(ISNUMBER(D161), $B172 * E161, "")</f>
        <v/>
      </c>
      <c r="G161" s="98"/>
      <c r="H161" s="25" t="str">
        <f t="shared" si="83"/>
        <v/>
      </c>
      <c r="I161" s="99" t="str">
        <f>IF(ISNUMBER(G161), $B172 * H161, "")</f>
        <v/>
      </c>
      <c r="J161" s="24"/>
      <c r="K161" s="25" t="str">
        <f t="shared" si="84"/>
        <v/>
      </c>
      <c r="L161" s="100" t="str">
        <f>IF(ISNUMBER(J161), $B172 * K161, "")</f>
        <v/>
      </c>
      <c r="M161" s="98"/>
      <c r="N161" s="25" t="str">
        <f t="shared" si="85"/>
        <v/>
      </c>
      <c r="O161" s="100" t="str">
        <f>IF(ISNUMBER(M161), $B172 * N161, "")</f>
        <v/>
      </c>
      <c r="Q161" s="284"/>
      <c r="R161" s="285"/>
      <c r="S161" s="286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96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87"/>
      <c r="R162" s="288"/>
      <c r="S162" s="289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97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90"/>
      <c r="R163" s="291"/>
      <c r="S163" s="292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97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75"/>
      <c r="R164" s="275"/>
      <c r="S164" s="275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97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70"/>
      <c r="R165" s="270"/>
      <c r="S165" s="270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1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70"/>
      <c r="R166" s="270"/>
      <c r="S166" s="270"/>
    </row>
    <row r="167" spans="1:19" ht="17.25" thickBot="1">
      <c r="A167" s="17"/>
      <c r="B167" s="102"/>
      <c r="C167" s="103"/>
      <c r="D167" s="102"/>
      <c r="E167" s="103" t="str">
        <f>IF(ISNUMBER(D167), (D167 - $B167) / $B167, "")</f>
        <v/>
      </c>
      <c r="F167" s="104" t="str">
        <f>IF(ISNUMBER(D167), $B172 * E167, "")</f>
        <v/>
      </c>
      <c r="G167" s="105"/>
      <c r="H167" s="103" t="str">
        <f>IF(ISNUMBER(G167), (G167 - $B167) / $B167, "")</f>
        <v/>
      </c>
      <c r="I167" s="106" t="str">
        <f>IF(ISNUMBER(G167), $B172 * H167, "")</f>
        <v/>
      </c>
      <c r="J167" s="102"/>
      <c r="K167" s="103" t="str">
        <f>IF(ISNUMBER(J167), (J167 - $B167) / $B167, "")</f>
        <v/>
      </c>
      <c r="L167" s="104" t="str">
        <f>IF(ISNUMBER(J167), $B172 * K167, "")</f>
        <v/>
      </c>
      <c r="M167" s="105"/>
      <c r="N167" s="103" t="str">
        <f>IF(ISNUMBER(M167), (M167 - $B167) / $B167, "")</f>
        <v/>
      </c>
      <c r="O167" s="104" t="str">
        <f>IF(ISNUMBER(M167), $B172 * N167, "")</f>
        <v/>
      </c>
      <c r="Q167" s="275"/>
      <c r="R167" s="275"/>
      <c r="S167" s="275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97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75"/>
      <c r="R168" s="275"/>
      <c r="S168" s="275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97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75"/>
      <c r="R169" s="275"/>
      <c r="S169" s="275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97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97"/>
      <c r="R170" s="298"/>
      <c r="S170" s="299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0" t="str">
        <f>IF(ISNUMBER(D171), $B172 * E171, "")</f>
        <v/>
      </c>
      <c r="G171" s="98"/>
      <c r="H171" s="25" t="str">
        <f t="shared" si="91"/>
        <v/>
      </c>
      <c r="I171" s="99" t="str">
        <f>IF(ISNUMBER(G171), $B172 * H171, "")</f>
        <v/>
      </c>
      <c r="J171" s="24"/>
      <c r="K171" s="25" t="str">
        <f t="shared" si="92"/>
        <v/>
      </c>
      <c r="L171" s="100" t="str">
        <f>IF(ISNUMBER(J171), $B172 * K171, "")</f>
        <v/>
      </c>
      <c r="M171" s="98"/>
      <c r="N171" s="25" t="str">
        <f t="shared" si="93"/>
        <v/>
      </c>
      <c r="O171" s="100" t="str">
        <f>IF(ISNUMBER(M171), $B172 * N171, "")</f>
        <v/>
      </c>
      <c r="Q171" s="300"/>
      <c r="R171" s="301"/>
      <c r="S171" s="302"/>
    </row>
    <row r="172" spans="1:19" ht="17.25" thickBot="1">
      <c r="A172" s="26" t="s">
        <v>301</v>
      </c>
      <c r="B172" s="306">
        <f>$B$37</f>
        <v>300000</v>
      </c>
      <c r="C172" s="307"/>
      <c r="D172" s="26" t="s">
        <v>302</v>
      </c>
      <c r="E172" s="27">
        <f>IF(COUNT(E152:E171), SUM(E152:E171) / COUNT(E152:E171), 0)</f>
        <v>0</v>
      </c>
      <c r="F172" s="28">
        <f>SUM(F152:F171)</f>
        <v>0</v>
      </c>
      <c r="G172" s="26" t="s">
        <v>302</v>
      </c>
      <c r="H172" s="27">
        <f>IF(COUNT(H152:H171), SUM(H152:H171) / COUNT(H152:H171), 0)</f>
        <v>0</v>
      </c>
      <c r="I172" s="28">
        <f>SUM(I152:I171)</f>
        <v>0</v>
      </c>
      <c r="J172" s="26" t="s">
        <v>302</v>
      </c>
      <c r="K172" s="27">
        <f>IF(COUNT(K152:K171), SUM(K152:K171) / COUNT(K152:K171), 0)</f>
        <v>0</v>
      </c>
      <c r="L172" s="28">
        <f>SUM(L152:L171)</f>
        <v>0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303"/>
      <c r="R172" s="304"/>
      <c r="S172" s="305"/>
    </row>
    <row r="174" spans="1:19" ht="17.25" thickBot="1"/>
    <row r="175" spans="1:19" ht="17.25" thickBot="1">
      <c r="A175" s="249" t="s">
        <v>285</v>
      </c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50"/>
      <c r="M175" s="250"/>
      <c r="N175" s="250"/>
      <c r="O175" s="251"/>
      <c r="Q175" s="270"/>
      <c r="R175" s="270"/>
      <c r="S175" s="270"/>
    </row>
    <row r="176" spans="1:19" ht="17.25" thickBot="1">
      <c r="A176" s="107" t="s">
        <v>298</v>
      </c>
      <c r="B176" s="249" t="s">
        <v>49</v>
      </c>
      <c r="C176" s="251"/>
      <c r="D176" s="249" t="s">
        <v>58</v>
      </c>
      <c r="E176" s="250"/>
      <c r="F176" s="251"/>
      <c r="G176" s="276">
        <f>_xlfn.IFNA(VLOOKUP(B176, 현재가테이블!$B$2:$D$200, 2, FALSE), "-")</f>
        <v>60874000</v>
      </c>
      <c r="H176" s="277"/>
      <c r="I176" s="278"/>
      <c r="J176" s="249" t="s">
        <v>59</v>
      </c>
      <c r="K176" s="250"/>
      <c r="L176" s="251"/>
      <c r="M176" s="279">
        <f>_xlfn.IFNA(VLOOKUP(B176, 현재가테이블!$B$2:$D$200, 3, FALSE), "-")</f>
        <v>-1.4936000099999999E-2</v>
      </c>
      <c r="N176" s="280"/>
      <c r="O176" s="281"/>
      <c r="Q176" s="270"/>
      <c r="R176" s="270"/>
      <c r="S176" s="270"/>
    </row>
    <row r="177" spans="1:19" ht="17.25" thickBot="1">
      <c r="A177" s="293" t="s">
        <v>55</v>
      </c>
      <c r="B177" s="295" t="str">
        <f>TEXT($G$1, "[$-ko-KR]yyyy-mm-dd(ddd) ") &amp; "오전 00:00"</f>
        <v>2021-04-01(목) 오전 00:00</v>
      </c>
      <c r="C177" s="296"/>
      <c r="D177" s="272" t="str">
        <f>TEXT($G$1, "[$-ko-KR]yyyy-mm-dd(ddd) ") &amp; "오후 14:00"</f>
        <v>2021-04-01(목) 오후 14:00</v>
      </c>
      <c r="E177" s="273"/>
      <c r="F177" s="274"/>
      <c r="G177" s="272" t="str">
        <f>TEXT($G$1, "[$-ko-KR]yyyy-mm-dd(ddd) ") &amp; "오후 19:00"</f>
        <v>2021-04-01(목) 오후 19:00</v>
      </c>
      <c r="H177" s="273"/>
      <c r="I177" s="274"/>
      <c r="J177" s="272" t="str">
        <f>TEXT($G$1, "[$-ko-KR]yyyy-mm-dd(ddd) ") &amp; "오후 21:00"</f>
        <v>2021-04-01(목) 오후 21:00</v>
      </c>
      <c r="K177" s="273"/>
      <c r="L177" s="274"/>
      <c r="M177" s="272" t="str">
        <f>TEXT($G$1+1, "[$-ko-KR]yyyy-mm-dd(ddd) ") &amp; "오전 00:00"</f>
        <v>2021-04-02(금) 오전 00:00</v>
      </c>
      <c r="N177" s="273"/>
      <c r="O177" s="274"/>
      <c r="Q177" s="270"/>
      <c r="R177" s="270"/>
      <c r="S177" s="270"/>
    </row>
    <row r="178" spans="1:19" ht="17.25" thickBot="1">
      <c r="A178" s="294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75"/>
      <c r="R178" s="275"/>
      <c r="S178" s="275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96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70"/>
      <c r="R179" s="270"/>
      <c r="S179" s="270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97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70"/>
      <c r="R180" s="270"/>
      <c r="S180" s="270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97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75"/>
      <c r="R181" s="275"/>
      <c r="S181" s="275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97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75"/>
      <c r="R182" s="275"/>
      <c r="S182" s="275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1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75"/>
      <c r="R183" s="275"/>
      <c r="S183" s="275"/>
    </row>
    <row r="184" spans="1:19" ht="17.25" thickBot="1">
      <c r="A184" s="17"/>
      <c r="B184" s="102"/>
      <c r="C184" s="103"/>
      <c r="D184" s="102"/>
      <c r="E184" s="103" t="str">
        <f>IF(ISNUMBER(D184), (D184 - $B184) / $B184, "")</f>
        <v/>
      </c>
      <c r="F184" s="104" t="str">
        <f>IF(ISNUMBER(D184), $B199 * E184, "")</f>
        <v/>
      </c>
      <c r="G184" s="105"/>
      <c r="H184" s="103" t="str">
        <f>IF(ISNUMBER(G184), (G184 - $B184) / $B184, "")</f>
        <v/>
      </c>
      <c r="I184" s="106" t="str">
        <f>IF(ISNUMBER(G184), $B199 * H184, "")</f>
        <v/>
      </c>
      <c r="J184" s="102"/>
      <c r="K184" s="103" t="str">
        <f>IF(ISNUMBER(J184), (J184 - $B184) / $B184, "")</f>
        <v/>
      </c>
      <c r="L184" s="104" t="str">
        <f>IF(ISNUMBER(J184), $B199 * K184, "")</f>
        <v/>
      </c>
      <c r="M184" s="105"/>
      <c r="N184" s="103" t="str">
        <f>IF(ISNUMBER(M184), (M184 - $B184) / $B184, "")</f>
        <v/>
      </c>
      <c r="O184" s="104" t="str">
        <f>IF(ISNUMBER(M184), $B199 * N184, "")</f>
        <v/>
      </c>
      <c r="Q184" s="275"/>
      <c r="R184" s="275"/>
      <c r="S184" s="275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97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75"/>
      <c r="R185" s="275"/>
      <c r="S185" s="275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97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75"/>
      <c r="R186" s="275"/>
      <c r="S186" s="275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97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0" t="str">
        <f>IF(ISNUMBER(D188), $B199 * E188, "")</f>
        <v/>
      </c>
      <c r="G188" s="98"/>
      <c r="H188" s="25" t="str">
        <f t="shared" si="99"/>
        <v/>
      </c>
      <c r="I188" s="99" t="str">
        <f>IF(ISNUMBER(G188), $B199 * H188, "")</f>
        <v/>
      </c>
      <c r="J188" s="24"/>
      <c r="K188" s="25" t="str">
        <f t="shared" si="100"/>
        <v/>
      </c>
      <c r="L188" s="100" t="str">
        <f>IF(ISNUMBER(J188), $B199 * K188, "")</f>
        <v/>
      </c>
      <c r="M188" s="98"/>
      <c r="N188" s="25" t="str">
        <f t="shared" si="101"/>
        <v/>
      </c>
      <c r="O188" s="100" t="str">
        <f>IF(ISNUMBER(M188), $B199 * N188, "")</f>
        <v/>
      </c>
      <c r="Q188" s="284"/>
      <c r="R188" s="285"/>
      <c r="S188" s="286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96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87"/>
      <c r="R189" s="288"/>
      <c r="S189" s="289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97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90"/>
      <c r="R190" s="291"/>
      <c r="S190" s="292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97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75"/>
      <c r="R191" s="275"/>
      <c r="S191" s="275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97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70"/>
      <c r="R192" s="270"/>
      <c r="S192" s="270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1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70"/>
      <c r="R193" s="270"/>
      <c r="S193" s="270"/>
    </row>
    <row r="194" spans="1:19" ht="17.25" thickBot="1">
      <c r="A194" s="17"/>
      <c r="B194" s="102"/>
      <c r="C194" s="103"/>
      <c r="D194" s="102"/>
      <c r="E194" s="103" t="str">
        <f>IF(ISNUMBER(D194), (D194 - $B194) / $B194, "")</f>
        <v/>
      </c>
      <c r="F194" s="104" t="str">
        <f>IF(ISNUMBER(D194), $B199 * E194, "")</f>
        <v/>
      </c>
      <c r="G194" s="105"/>
      <c r="H194" s="103" t="str">
        <f>IF(ISNUMBER(G194), (G194 - $B194) / $B194, "")</f>
        <v/>
      </c>
      <c r="I194" s="106" t="str">
        <f>IF(ISNUMBER(G194), $B199 * H194, "")</f>
        <v/>
      </c>
      <c r="J194" s="102"/>
      <c r="K194" s="103" t="str">
        <f>IF(ISNUMBER(J194), (J194 - $B194) / $B194, "")</f>
        <v/>
      </c>
      <c r="L194" s="104" t="str">
        <f>IF(ISNUMBER(J194), $B199 * K194, "")</f>
        <v/>
      </c>
      <c r="M194" s="105"/>
      <c r="N194" s="103" t="str">
        <f>IF(ISNUMBER(M194), (M194 - $B194) / $B194, "")</f>
        <v/>
      </c>
      <c r="O194" s="104" t="str">
        <f>IF(ISNUMBER(M194), $B199 * N194, "")</f>
        <v/>
      </c>
      <c r="Q194" s="275"/>
      <c r="R194" s="275"/>
      <c r="S194" s="275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97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75"/>
      <c r="R195" s="275"/>
      <c r="S195" s="275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97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75"/>
      <c r="R196" s="275"/>
      <c r="S196" s="275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97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97"/>
      <c r="R197" s="298"/>
      <c r="S197" s="299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0" t="str">
        <f>IF(ISNUMBER(D198), $B199 * E198, "")</f>
        <v/>
      </c>
      <c r="G198" s="98"/>
      <c r="H198" s="25" t="str">
        <f t="shared" si="107"/>
        <v/>
      </c>
      <c r="I198" s="99" t="str">
        <f>IF(ISNUMBER(G198), $B199 * H198, "")</f>
        <v/>
      </c>
      <c r="J198" s="24"/>
      <c r="K198" s="25" t="str">
        <f t="shared" si="108"/>
        <v/>
      </c>
      <c r="L198" s="100" t="str">
        <f>IF(ISNUMBER(J198), $B199 * K198, "")</f>
        <v/>
      </c>
      <c r="M198" s="98"/>
      <c r="N198" s="25" t="str">
        <f t="shared" si="109"/>
        <v/>
      </c>
      <c r="O198" s="100" t="str">
        <f>IF(ISNUMBER(M198), $B199 * N198, "")</f>
        <v/>
      </c>
      <c r="Q198" s="300"/>
      <c r="R198" s="301"/>
      <c r="S198" s="302"/>
    </row>
    <row r="199" spans="1:19" ht="17.25" thickBot="1">
      <c r="A199" s="26" t="s">
        <v>301</v>
      </c>
      <c r="B199" s="306">
        <f>$B$37</f>
        <v>300000</v>
      </c>
      <c r="C199" s="307"/>
      <c r="D199" s="26" t="s">
        <v>302</v>
      </c>
      <c r="E199" s="27">
        <f>IF(COUNT(E179:E198), SUM(E179:E198) / COUNT(E179:E198), 0)</f>
        <v>0</v>
      </c>
      <c r="F199" s="28">
        <f>SUM(F179:F198)</f>
        <v>0</v>
      </c>
      <c r="G199" s="26" t="s">
        <v>302</v>
      </c>
      <c r="H199" s="27">
        <f>IF(COUNT(H179:H198), SUM(H179:H198) / COUNT(H179:H198), 0)</f>
        <v>0</v>
      </c>
      <c r="I199" s="28">
        <f>SUM(I179:I198)</f>
        <v>0</v>
      </c>
      <c r="J199" s="26" t="s">
        <v>302</v>
      </c>
      <c r="K199" s="27">
        <f>IF(COUNT(K179:K198), SUM(K179:K198) / COUNT(K179:K198), 0)</f>
        <v>0</v>
      </c>
      <c r="L199" s="28">
        <f>SUM(L179:L198)</f>
        <v>0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303"/>
      <c r="R199" s="304"/>
      <c r="S199" s="30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4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4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4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4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4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4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7" priority="157">
      <formula>AND($N17 &gt; 0, ISNUMBER($N17))</formula>
    </cfRule>
    <cfRule type="expression" dxfId="3456" priority="158">
      <formula>AND($N17 = 0 * ISNUMBER($N17))</formula>
    </cfRule>
    <cfRule type="expression" dxfId="3455" priority="159">
      <formula>AND($N17 &lt; 0, ISNUMBER($N17))</formula>
    </cfRule>
  </conditionalFormatting>
  <conditionalFormatting sqref="A17:F36">
    <cfRule type="expression" dxfId="3454" priority="166">
      <formula>AND($E17 &gt; 0, ISNUMBER($E17))</formula>
    </cfRule>
    <cfRule type="expression" dxfId="3453" priority="167">
      <formula>AND($E17 = 0 * ISNUMBER($E17))</formula>
    </cfRule>
    <cfRule type="expression" dxfId="3452" priority="168">
      <formula>AND($E17 &lt; 0, ISNUMBER($E17))</formula>
    </cfRule>
  </conditionalFormatting>
  <conditionalFormatting sqref="A17:C36 G17:I36">
    <cfRule type="expression" dxfId="3451" priority="163">
      <formula>AND($H17 &gt; 0, ISNUMBER($H17))</formula>
    </cfRule>
    <cfRule type="expression" dxfId="3450" priority="164">
      <formula>AND($H17 = 0 * ISNUMBER($H17))</formula>
    </cfRule>
    <cfRule type="expression" dxfId="3449" priority="165">
      <formula>AND($H17 &lt; 0, ISNUMBER($H17))</formula>
    </cfRule>
  </conditionalFormatting>
  <conditionalFormatting sqref="A17:C36 J17:L36">
    <cfRule type="expression" dxfId="3448" priority="160">
      <formula>AND($K17 &gt; 0, ISNUMBER($K17))</formula>
    </cfRule>
    <cfRule type="expression" dxfId="3447" priority="161">
      <formula>AND($K17 = 0 * ISNUMBER($K17))</formula>
    </cfRule>
    <cfRule type="expression" dxfId="3446" priority="162">
      <formula>AND($K17 &lt; 0, ISNUMBER($K17))</formula>
    </cfRule>
  </conditionalFormatting>
  <conditionalFormatting sqref="D15:F16 E37:F37">
    <cfRule type="expression" dxfId="3445" priority="154">
      <formula>$E$37 &gt; 0</formula>
    </cfRule>
    <cfRule type="expression" dxfId="3444" priority="155">
      <formula>$E$37 = 0</formula>
    </cfRule>
    <cfRule type="expression" dxfId="3443" priority="156">
      <formula>$E$37 &lt; 0</formula>
    </cfRule>
  </conditionalFormatting>
  <conditionalFormatting sqref="G15:I16 H37:I37">
    <cfRule type="expression" dxfId="3442" priority="151">
      <formula>$H$37 &gt; 0</formula>
    </cfRule>
    <cfRule type="expression" dxfId="3441" priority="152">
      <formula>$H$37 = 0</formula>
    </cfRule>
    <cfRule type="expression" dxfId="3440" priority="153">
      <formula>$H$37 &lt; 0</formula>
    </cfRule>
  </conditionalFormatting>
  <conditionalFormatting sqref="J15:L16 K37:L37">
    <cfRule type="expression" dxfId="3439" priority="148">
      <formula>$K$37 &gt; 0</formula>
    </cfRule>
    <cfRule type="expression" dxfId="3438" priority="149">
      <formula>$K$37 = 0</formula>
    </cfRule>
    <cfRule type="expression" dxfId="3437" priority="150">
      <formula>$K$37 &lt; 0</formula>
    </cfRule>
  </conditionalFormatting>
  <conditionalFormatting sqref="M15:O16 N37:O37">
    <cfRule type="expression" dxfId="3436" priority="145">
      <formula>$N$37 &gt; 0</formula>
    </cfRule>
    <cfRule type="expression" dxfId="3435" priority="146">
      <formula>$N$37 = 0</formula>
    </cfRule>
    <cfRule type="expression" dxfId="3434" priority="147">
      <formula>$N$37 &lt; 0</formula>
    </cfRule>
  </conditionalFormatting>
  <conditionalFormatting sqref="A44:C63 M44:O63">
    <cfRule type="expression" dxfId="3433" priority="133">
      <formula>AND($N44 &gt; 0, ISNUMBER($N44))</formula>
    </cfRule>
    <cfRule type="expression" dxfId="3432" priority="134">
      <formula>AND($N44 = 0 * ISNUMBER($N44))</formula>
    </cfRule>
    <cfRule type="expression" dxfId="3431" priority="135">
      <formula>AND($N44 &lt; 0, ISNUMBER($N44))</formula>
    </cfRule>
  </conditionalFormatting>
  <conditionalFormatting sqref="A44:F63">
    <cfRule type="expression" dxfId="3430" priority="142">
      <formula>AND($E44 &gt; 0, ISNUMBER($E44))</formula>
    </cfRule>
    <cfRule type="expression" dxfId="3429" priority="143">
      <formula>AND($E44 = 0 * ISNUMBER($E44))</formula>
    </cfRule>
    <cfRule type="expression" dxfId="3428" priority="144">
      <formula>AND($E44 &lt; 0, ISNUMBER($E44))</formula>
    </cfRule>
  </conditionalFormatting>
  <conditionalFormatting sqref="A44:C63 G44:I63">
    <cfRule type="expression" dxfId="3427" priority="139">
      <formula>AND($H44 &gt; 0, ISNUMBER($H44))</formula>
    </cfRule>
    <cfRule type="expression" dxfId="3426" priority="140">
      <formula>AND($H44 = 0 * ISNUMBER($H44))</formula>
    </cfRule>
    <cfRule type="expression" dxfId="3425" priority="141">
      <formula>AND($H44 &lt; 0, ISNUMBER($H44))</formula>
    </cfRule>
  </conditionalFormatting>
  <conditionalFormatting sqref="A44:C63 J44:L63">
    <cfRule type="expression" dxfId="3424" priority="136">
      <formula>AND($K44 &gt; 0, ISNUMBER($K44))</formula>
    </cfRule>
    <cfRule type="expression" dxfId="3423" priority="137">
      <formula>AND($K44 = 0 * ISNUMBER($K44))</formula>
    </cfRule>
    <cfRule type="expression" dxfId="3422" priority="138">
      <formula>AND($K44 &lt; 0, ISNUMBER($K44))</formula>
    </cfRule>
  </conditionalFormatting>
  <conditionalFormatting sqref="D42:F43 E64:F64">
    <cfRule type="expression" dxfId="3421" priority="130">
      <formula>$E$64 &gt; 0</formula>
    </cfRule>
    <cfRule type="expression" dxfId="3420" priority="131">
      <formula>$E$64 = 0</formula>
    </cfRule>
    <cfRule type="expression" dxfId="3419" priority="132">
      <formula>$E$64 &lt; 0</formula>
    </cfRule>
  </conditionalFormatting>
  <conditionalFormatting sqref="G42:I43 H64:I64">
    <cfRule type="expression" dxfId="3418" priority="127">
      <formula>$H$64 &gt; 0</formula>
    </cfRule>
    <cfRule type="expression" dxfId="3417" priority="128">
      <formula>$H$64 = 0</formula>
    </cfRule>
    <cfRule type="expression" dxfId="3416" priority="129">
      <formula>$H$64 &lt; 0</formula>
    </cfRule>
  </conditionalFormatting>
  <conditionalFormatting sqref="J42:L43 K64:L64">
    <cfRule type="expression" dxfId="3415" priority="124">
      <formula>$K$64 &gt; 0</formula>
    </cfRule>
    <cfRule type="expression" dxfId="3414" priority="125">
      <formula>$K$64 = 0</formula>
    </cfRule>
    <cfRule type="expression" dxfId="3413" priority="126">
      <formula>$K$64 &lt; 0</formula>
    </cfRule>
  </conditionalFormatting>
  <conditionalFormatting sqref="M42:O43 N64:O64">
    <cfRule type="expression" dxfId="3412" priority="121">
      <formula>$N$64 &gt; 0</formula>
    </cfRule>
    <cfRule type="expression" dxfId="3411" priority="122">
      <formula>$N$64 = 0</formula>
    </cfRule>
    <cfRule type="expression" dxfId="3410" priority="123">
      <formula>$N$64 &lt; 0</formula>
    </cfRule>
  </conditionalFormatting>
  <conditionalFormatting sqref="A71:C90 M71:O90">
    <cfRule type="expression" dxfId="3409" priority="109">
      <formula>AND($N71 &gt; 0, ISNUMBER($N71))</formula>
    </cfRule>
    <cfRule type="expression" dxfId="3408" priority="110">
      <formula>AND($N71 = 0 * ISNUMBER($N71))</formula>
    </cfRule>
    <cfRule type="expression" dxfId="3407" priority="111">
      <formula>AND($N71 &lt; 0, ISNUMBER($N71))</formula>
    </cfRule>
  </conditionalFormatting>
  <conditionalFormatting sqref="A71:F90">
    <cfRule type="expression" dxfId="3406" priority="118">
      <formula>AND($E71 &gt; 0, ISNUMBER($E71))</formula>
    </cfRule>
    <cfRule type="expression" dxfId="3405" priority="119">
      <formula>AND($E71 = 0 * ISNUMBER($E71))</formula>
    </cfRule>
    <cfRule type="expression" dxfId="3404" priority="120">
      <formula>AND($E71 &lt; 0, ISNUMBER($E71))</formula>
    </cfRule>
  </conditionalFormatting>
  <conditionalFormatting sqref="A71:C90 G71:I90">
    <cfRule type="expression" dxfId="3403" priority="115">
      <formula>AND($H71 &gt; 0, ISNUMBER($H71))</formula>
    </cfRule>
    <cfRule type="expression" dxfId="3402" priority="116">
      <formula>AND($H71 = 0 * ISNUMBER($H71))</formula>
    </cfRule>
    <cfRule type="expression" dxfId="3401" priority="117">
      <formula>AND($H71 &lt; 0, ISNUMBER($H71))</formula>
    </cfRule>
  </conditionalFormatting>
  <conditionalFormatting sqref="A71:C90 J71:L90">
    <cfRule type="expression" dxfId="3400" priority="112">
      <formula>AND($K71 &gt; 0, ISNUMBER($K71))</formula>
    </cfRule>
    <cfRule type="expression" dxfId="3399" priority="113">
      <formula>AND($K71 = 0 * ISNUMBER($K71))</formula>
    </cfRule>
    <cfRule type="expression" dxfId="3398" priority="114">
      <formula>AND($K71 &lt; 0, ISNUMBER($K71))</formula>
    </cfRule>
  </conditionalFormatting>
  <conditionalFormatting sqref="D69:F70 E91:F91">
    <cfRule type="expression" dxfId="3397" priority="106">
      <formula>$E$91 &gt; 0</formula>
    </cfRule>
    <cfRule type="expression" dxfId="3396" priority="107">
      <formula>$E$91 = 0</formula>
    </cfRule>
    <cfRule type="expression" dxfId="3395" priority="108">
      <formula>$E$91 &lt; 0</formula>
    </cfRule>
  </conditionalFormatting>
  <conditionalFormatting sqref="G69:I70 H91:I91">
    <cfRule type="expression" dxfId="3394" priority="103">
      <formula>$H$91 &gt; 0</formula>
    </cfRule>
    <cfRule type="expression" dxfId="3393" priority="104">
      <formula>$H$91 = 0</formula>
    </cfRule>
    <cfRule type="expression" dxfId="3392" priority="105">
      <formula>$H$91 &lt; 0</formula>
    </cfRule>
  </conditionalFormatting>
  <conditionalFormatting sqref="J69:L70 K91:L91">
    <cfRule type="expression" dxfId="3391" priority="100">
      <formula>$K$91 &gt; 0</formula>
    </cfRule>
    <cfRule type="expression" dxfId="3390" priority="101">
      <formula>$K$91 = 0</formula>
    </cfRule>
    <cfRule type="expression" dxfId="3389" priority="102">
      <formula>$K$91 &lt; 0</formula>
    </cfRule>
  </conditionalFormatting>
  <conditionalFormatting sqref="M69:O70 N91:O91">
    <cfRule type="expression" dxfId="3388" priority="97">
      <formula>$N$91 &gt; 0</formula>
    </cfRule>
    <cfRule type="expression" dxfId="3387" priority="98">
      <formula>$N$91 = 0</formula>
    </cfRule>
    <cfRule type="expression" dxfId="3386" priority="99">
      <formula>$N$91 &lt; 0</formula>
    </cfRule>
  </conditionalFormatting>
  <conditionalFormatting sqref="A98:C117 M98:O117">
    <cfRule type="expression" dxfId="3385" priority="85">
      <formula>AND($N98 &gt; 0, ISNUMBER($N98))</formula>
    </cfRule>
    <cfRule type="expression" dxfId="3384" priority="86">
      <formula>AND($N98 = 0 * ISNUMBER($N98))</formula>
    </cfRule>
    <cfRule type="expression" dxfId="3383" priority="87">
      <formula>AND($N98 &lt; 0, ISNUMBER($N98))</formula>
    </cfRule>
  </conditionalFormatting>
  <conditionalFormatting sqref="A98:F117">
    <cfRule type="expression" dxfId="3382" priority="94">
      <formula>AND($E98 &gt; 0, ISNUMBER($E98))</formula>
    </cfRule>
    <cfRule type="expression" dxfId="3381" priority="95">
      <formula>AND($E98 = 0 * ISNUMBER($E98))</formula>
    </cfRule>
    <cfRule type="expression" dxfId="3380" priority="96">
      <formula>AND($E98 &lt; 0, ISNUMBER($E98))</formula>
    </cfRule>
  </conditionalFormatting>
  <conditionalFormatting sqref="A98:C117 G98:I117">
    <cfRule type="expression" dxfId="3379" priority="91">
      <formula>AND($H98 &gt; 0, ISNUMBER($H98))</formula>
    </cfRule>
    <cfRule type="expression" dxfId="3378" priority="92">
      <formula>AND($H98 = 0 * ISNUMBER($H98))</formula>
    </cfRule>
    <cfRule type="expression" dxfId="3377" priority="93">
      <formula>AND($H98 &lt; 0, ISNUMBER($H98))</formula>
    </cfRule>
  </conditionalFormatting>
  <conditionalFormatting sqref="A98:C117 J98:L117">
    <cfRule type="expression" dxfId="3376" priority="88">
      <formula>AND($K98 &gt; 0, ISNUMBER($K98))</formula>
    </cfRule>
    <cfRule type="expression" dxfId="3375" priority="89">
      <formula>AND($K98 = 0 * ISNUMBER($K98))</formula>
    </cfRule>
    <cfRule type="expression" dxfId="3374" priority="90">
      <formula>AND($K98 &lt; 0, ISNUMBER($K98))</formula>
    </cfRule>
  </conditionalFormatting>
  <conditionalFormatting sqref="D96:F97 E118:F118">
    <cfRule type="expression" dxfId="3373" priority="82">
      <formula>$E$118 &gt; 0</formula>
    </cfRule>
    <cfRule type="expression" dxfId="3372" priority="83">
      <formula>$E$118 = 0</formula>
    </cfRule>
    <cfRule type="expression" dxfId="3371" priority="84">
      <formula>$E$118 &lt; 0</formula>
    </cfRule>
  </conditionalFormatting>
  <conditionalFormatting sqref="G96:I97 H118:I118">
    <cfRule type="expression" dxfId="3370" priority="79">
      <formula>$H$118 &gt; 0</formula>
    </cfRule>
    <cfRule type="expression" dxfId="3369" priority="80">
      <formula>$H$118 = 0</formula>
    </cfRule>
    <cfRule type="expression" dxfId="3368" priority="81">
      <formula>$H$118 &lt; 0</formula>
    </cfRule>
  </conditionalFormatting>
  <conditionalFormatting sqref="J96:L97 K118:L118">
    <cfRule type="expression" dxfId="3367" priority="76">
      <formula>$K$118 &gt; 0</formula>
    </cfRule>
    <cfRule type="expression" dxfId="3366" priority="77">
      <formula>$K$118 = 0</formula>
    </cfRule>
    <cfRule type="expression" dxfId="3365" priority="78">
      <formula>$K$118 &lt; 0</formula>
    </cfRule>
  </conditionalFormatting>
  <conditionalFormatting sqref="M96:O97 N118:O118">
    <cfRule type="expression" dxfId="3364" priority="73">
      <formula>$N$118 &gt; 0</formula>
    </cfRule>
    <cfRule type="expression" dxfId="3363" priority="74">
      <formula>$N$118 = 0</formula>
    </cfRule>
    <cfRule type="expression" dxfId="3362" priority="75">
      <formula>$N$118 &lt; 0</formula>
    </cfRule>
  </conditionalFormatting>
  <conditionalFormatting sqref="A125:C144 M125:O144">
    <cfRule type="expression" dxfId="3361" priority="61">
      <formula>AND($N125 &gt; 0, ISNUMBER($N125))</formula>
    </cfRule>
    <cfRule type="expression" dxfId="3360" priority="62">
      <formula>AND($N125 = 0 * ISNUMBER($N125))</formula>
    </cfRule>
    <cfRule type="expression" dxfId="3359" priority="63">
      <formula>AND($N125 &lt; 0, ISNUMBER($N125))</formula>
    </cfRule>
  </conditionalFormatting>
  <conditionalFormatting sqref="A125:F144">
    <cfRule type="expression" dxfId="3358" priority="70">
      <formula>AND($E125 &gt; 0, ISNUMBER($E125))</formula>
    </cfRule>
    <cfRule type="expression" dxfId="3357" priority="71">
      <formula>AND($E125 = 0 * ISNUMBER($E125))</formula>
    </cfRule>
    <cfRule type="expression" dxfId="3356" priority="72">
      <formula>AND($E125 &lt; 0, ISNUMBER($E125))</formula>
    </cfRule>
  </conditionalFormatting>
  <conditionalFormatting sqref="A125:C144 G125:I144">
    <cfRule type="expression" dxfId="3355" priority="67">
      <formula>AND($H125 &gt; 0, ISNUMBER($H125))</formula>
    </cfRule>
    <cfRule type="expression" dxfId="3354" priority="68">
      <formula>AND($H125 = 0 * ISNUMBER($H125))</formula>
    </cfRule>
    <cfRule type="expression" dxfId="3353" priority="69">
      <formula>AND($H125 &lt; 0, ISNUMBER($H125))</formula>
    </cfRule>
  </conditionalFormatting>
  <conditionalFormatting sqref="A125:C144 J125:L144">
    <cfRule type="expression" dxfId="3352" priority="64">
      <formula>AND($K125 &gt; 0, ISNUMBER($K125))</formula>
    </cfRule>
    <cfRule type="expression" dxfId="3351" priority="65">
      <formula>AND($K125 = 0 * ISNUMBER($K125))</formula>
    </cfRule>
    <cfRule type="expression" dxfId="3350" priority="66">
      <formula>AND($K125 &lt; 0, ISNUMBER($K125))</formula>
    </cfRule>
  </conditionalFormatting>
  <conditionalFormatting sqref="D123:F124 E145:F145">
    <cfRule type="expression" dxfId="3349" priority="58">
      <formula>$E$145 &gt; 0</formula>
    </cfRule>
    <cfRule type="expression" dxfId="3348" priority="59">
      <formula>$E$145 = 0</formula>
    </cfRule>
    <cfRule type="expression" dxfId="3347" priority="60">
      <formula>$E$145 &lt; 0</formula>
    </cfRule>
  </conditionalFormatting>
  <conditionalFormatting sqref="G123:I124 H145:I145">
    <cfRule type="expression" dxfId="3346" priority="55">
      <formula>$H$145 &gt; 0</formula>
    </cfRule>
    <cfRule type="expression" dxfId="3345" priority="56">
      <formula>$H$145 = 0</formula>
    </cfRule>
    <cfRule type="expression" dxfId="3344" priority="57">
      <formula>$H$145 &lt; 0</formula>
    </cfRule>
  </conditionalFormatting>
  <conditionalFormatting sqref="J123:L124 K145:L145">
    <cfRule type="expression" dxfId="3343" priority="52">
      <formula>$K$145 &gt; 0</formula>
    </cfRule>
    <cfRule type="expression" dxfId="3342" priority="53">
      <formula>$K$145 = 0</formula>
    </cfRule>
    <cfRule type="expression" dxfId="3341" priority="54">
      <formula>$K$145 &lt; 0</formula>
    </cfRule>
  </conditionalFormatting>
  <conditionalFormatting sqref="M123:O124 N145:O145">
    <cfRule type="expression" dxfId="3340" priority="49">
      <formula>$N$145 &gt; 0</formula>
    </cfRule>
    <cfRule type="expression" dxfId="3339" priority="50">
      <formula>$N$145 = 0</formula>
    </cfRule>
    <cfRule type="expression" dxfId="3338" priority="51">
      <formula>$N$145 &lt; 0</formula>
    </cfRule>
  </conditionalFormatting>
  <conditionalFormatting sqref="A152:C171 M152:O171">
    <cfRule type="expression" dxfId="3337" priority="37">
      <formula>AND($N152 &gt; 0, ISNUMBER($N152))</formula>
    </cfRule>
    <cfRule type="expression" dxfId="3336" priority="38">
      <formula>AND($N152 = 0 * ISNUMBER($N152))</formula>
    </cfRule>
    <cfRule type="expression" dxfId="3335" priority="39">
      <formula>AND($N152 &lt; 0, ISNUMBER($N152))</formula>
    </cfRule>
  </conditionalFormatting>
  <conditionalFormatting sqref="A152:F171">
    <cfRule type="expression" dxfId="3334" priority="46">
      <formula>AND($E152 &gt; 0, ISNUMBER($E152))</formula>
    </cfRule>
    <cfRule type="expression" dxfId="3333" priority="47">
      <formula>AND($E152 = 0 * ISNUMBER($E152))</formula>
    </cfRule>
    <cfRule type="expression" dxfId="3332" priority="48">
      <formula>AND($E152 &lt; 0, ISNUMBER($E152))</formula>
    </cfRule>
  </conditionalFormatting>
  <conditionalFormatting sqref="A152:C171 G152:I171">
    <cfRule type="expression" dxfId="3331" priority="43">
      <formula>AND($H152 &gt; 0, ISNUMBER($H152))</formula>
    </cfRule>
    <cfRule type="expression" dxfId="3330" priority="44">
      <formula>AND($H152 = 0 * ISNUMBER($H152))</formula>
    </cfRule>
    <cfRule type="expression" dxfId="3329" priority="45">
      <formula>AND($H152 &lt; 0, ISNUMBER($H152))</formula>
    </cfRule>
  </conditionalFormatting>
  <conditionalFormatting sqref="A152:C171 J152:L171">
    <cfRule type="expression" dxfId="3328" priority="40">
      <formula>AND($K152 &gt; 0, ISNUMBER($K152))</formula>
    </cfRule>
    <cfRule type="expression" dxfId="3327" priority="41">
      <formula>AND($K152 = 0 * ISNUMBER($K152))</formula>
    </cfRule>
    <cfRule type="expression" dxfId="3326" priority="42">
      <formula>AND($K152 &lt; 0, ISNUMBER($K152))</formula>
    </cfRule>
  </conditionalFormatting>
  <conditionalFormatting sqref="D150:F151 E172:F172">
    <cfRule type="expression" dxfId="3325" priority="34">
      <formula>$E$172 &gt; 0</formula>
    </cfRule>
    <cfRule type="expression" dxfId="3324" priority="35">
      <formula>$E$172 = 0</formula>
    </cfRule>
    <cfRule type="expression" dxfId="3323" priority="36">
      <formula>$E$172 &lt; 0</formula>
    </cfRule>
  </conditionalFormatting>
  <conditionalFormatting sqref="G150:I151 H172:I172">
    <cfRule type="expression" dxfId="3322" priority="31">
      <formula>$H$172 &gt; 0</formula>
    </cfRule>
    <cfRule type="expression" dxfId="3321" priority="32">
      <formula>$H$172 = 0</formula>
    </cfRule>
    <cfRule type="expression" dxfId="3320" priority="33">
      <formula>$H$172 &lt; 0</formula>
    </cfRule>
  </conditionalFormatting>
  <conditionalFormatting sqref="J150:L151 K172:L172">
    <cfRule type="expression" dxfId="3319" priority="28">
      <formula>$K$172 &gt; 0</formula>
    </cfRule>
    <cfRule type="expression" dxfId="3318" priority="29">
      <formula>$K$172 = 0</formula>
    </cfRule>
    <cfRule type="expression" dxfId="3317" priority="30">
      <formula>$K$172 &lt; 0</formula>
    </cfRule>
  </conditionalFormatting>
  <conditionalFormatting sqref="M150:O151 N172:O172">
    <cfRule type="expression" dxfId="3316" priority="25">
      <formula>$N$172 &gt; 0</formula>
    </cfRule>
    <cfRule type="expression" dxfId="3315" priority="26">
      <formula>$N$172 = 0</formula>
    </cfRule>
    <cfRule type="expression" dxfId="3314" priority="27">
      <formula>$N$172 &lt; 0</formula>
    </cfRule>
  </conditionalFormatting>
  <conditionalFormatting sqref="A179:C198 M179:O198">
    <cfRule type="expression" dxfId="3313" priority="13">
      <formula>AND($N179 &gt; 0, ISNUMBER($N179))</formula>
    </cfRule>
    <cfRule type="expression" dxfId="3312" priority="14">
      <formula>AND($N179 = 0 * ISNUMBER($N179))</formula>
    </cfRule>
    <cfRule type="expression" dxfId="3311" priority="15">
      <formula>AND($N179 &lt; 0, ISNUMBER($N179))</formula>
    </cfRule>
  </conditionalFormatting>
  <conditionalFormatting sqref="A179:F198">
    <cfRule type="expression" dxfId="3310" priority="22">
      <formula>AND($E179 &gt; 0, ISNUMBER($E179))</formula>
    </cfRule>
    <cfRule type="expression" dxfId="3309" priority="23">
      <formula>AND($E179 = 0 * ISNUMBER($E179))</formula>
    </cfRule>
    <cfRule type="expression" dxfId="3308" priority="24">
      <formula>AND($E179 &lt; 0, ISNUMBER($E179))</formula>
    </cfRule>
  </conditionalFormatting>
  <conditionalFormatting sqref="A179:C198 G179:I198">
    <cfRule type="expression" dxfId="3307" priority="19">
      <formula>AND($H179 &gt; 0, ISNUMBER($H179))</formula>
    </cfRule>
    <cfRule type="expression" dxfId="3306" priority="20">
      <formula>AND($H179 = 0 * ISNUMBER($H179))</formula>
    </cfRule>
    <cfRule type="expression" dxfId="3305" priority="21">
      <formula>AND($H179 &lt; 0, ISNUMBER($H179))</formula>
    </cfRule>
  </conditionalFormatting>
  <conditionalFormatting sqref="A179:C198 J179:L198">
    <cfRule type="expression" dxfId="3304" priority="16">
      <formula>AND($K179 &gt; 0, ISNUMBER($K179))</formula>
    </cfRule>
    <cfRule type="expression" dxfId="3303" priority="17">
      <formula>AND($K179 = 0 * ISNUMBER($K179))</formula>
    </cfRule>
    <cfRule type="expression" dxfId="3302" priority="18">
      <formula>AND($K179 &lt; 0, ISNUMBER($K179))</formula>
    </cfRule>
  </conditionalFormatting>
  <conditionalFormatting sqref="D177:F178 E199:F199">
    <cfRule type="expression" dxfId="3301" priority="10">
      <formula>$E$199 &gt; 0</formula>
    </cfRule>
    <cfRule type="expression" dxfId="3300" priority="11">
      <formula>$E$199 = 0</formula>
    </cfRule>
    <cfRule type="expression" dxfId="3299" priority="12">
      <formula>$E$199 &lt; 0</formula>
    </cfRule>
  </conditionalFormatting>
  <conditionalFormatting sqref="G177:I178 H199:I199">
    <cfRule type="expression" dxfId="3298" priority="7">
      <formula>$H$199 &gt; 0</formula>
    </cfRule>
    <cfRule type="expression" dxfId="3297" priority="8">
      <formula>$H$199 = 0</formula>
    </cfRule>
    <cfRule type="expression" dxfId="3296" priority="9">
      <formula>$H$199 &lt; 0</formula>
    </cfRule>
  </conditionalFormatting>
  <conditionalFormatting sqref="J177:L178 K199:L199">
    <cfRule type="expression" dxfId="3295" priority="4">
      <formula>$K$199 &gt; 0</formula>
    </cfRule>
    <cfRule type="expression" dxfId="3294" priority="5">
      <formula>$K$199 = 0</formula>
    </cfRule>
    <cfRule type="expression" dxfId="3293" priority="6">
      <formula>$K$199 &lt; 0</formula>
    </cfRule>
  </conditionalFormatting>
  <conditionalFormatting sqref="M177:O178 N199:O199">
    <cfRule type="expression" dxfId="3292" priority="1">
      <formula>$N$199 &gt; 0</formula>
    </cfRule>
    <cfRule type="expression" dxfId="3291" priority="2">
      <formula>$N$199 = 0</formula>
    </cfRule>
    <cfRule type="expression" dxfId="32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sqref="A1:O11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1.62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49" t="s">
        <v>0</v>
      </c>
      <c r="B1" s="250"/>
      <c r="C1" s="250"/>
      <c r="D1" s="250"/>
      <c r="E1" s="250"/>
      <c r="F1" s="251"/>
      <c r="G1" s="252">
        <v>44317</v>
      </c>
      <c r="H1" s="253"/>
      <c r="I1" s="254"/>
      <c r="J1" s="249" t="s">
        <v>1</v>
      </c>
      <c r="K1" s="250"/>
      <c r="L1" s="250"/>
      <c r="M1" s="250"/>
      <c r="N1" s="250"/>
      <c r="O1" s="251"/>
      <c r="Q1" s="249" t="s">
        <v>2</v>
      </c>
      <c r="R1" s="251"/>
    </row>
    <row r="2" spans="1:19" ht="17.25" customHeight="1">
      <c r="A2" s="116" t="s">
        <v>3</v>
      </c>
      <c r="B2" s="323" t="s">
        <v>8</v>
      </c>
      <c r="C2" s="324"/>
      <c r="D2" s="324"/>
      <c r="E2" s="324"/>
      <c r="F2" s="325"/>
      <c r="G2" s="258" t="s">
        <v>46</v>
      </c>
      <c r="H2" s="259"/>
      <c r="I2" s="260"/>
      <c r="J2" s="116" t="s">
        <v>3</v>
      </c>
      <c r="K2" s="323" t="s">
        <v>376</v>
      </c>
      <c r="L2" s="324"/>
      <c r="M2" s="324"/>
      <c r="N2" s="324"/>
      <c r="O2" s="325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20" t="s">
        <v>384</v>
      </c>
      <c r="C3" s="321"/>
      <c r="D3" s="321"/>
      <c r="E3" s="321"/>
      <c r="F3" s="322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65"/>
      <c r="I3" s="266"/>
      <c r="J3" s="117" t="s">
        <v>7</v>
      </c>
      <c r="K3" s="320" t="s">
        <v>377</v>
      </c>
      <c r="L3" s="321"/>
      <c r="M3" s="321"/>
      <c r="N3" s="321"/>
      <c r="O3" s="322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20" t="s">
        <v>16</v>
      </c>
      <c r="C4" s="321"/>
      <c r="D4" s="321"/>
      <c r="E4" s="321"/>
      <c r="F4" s="322"/>
      <c r="G4" s="258" t="s">
        <v>44</v>
      </c>
      <c r="H4" s="259"/>
      <c r="I4" s="260"/>
      <c r="J4" s="117" t="s">
        <v>11</v>
      </c>
      <c r="K4" s="320" t="s">
        <v>378</v>
      </c>
      <c r="L4" s="321"/>
      <c r="M4" s="321"/>
      <c r="N4" s="321"/>
      <c r="O4" s="322"/>
      <c r="Q4" s="189" t="s">
        <v>14</v>
      </c>
      <c r="R4" s="198">
        <v>0.95833333333333337</v>
      </c>
    </row>
    <row r="5" spans="1:19" ht="17.25" customHeight="1" thickBot="1">
      <c r="A5" s="117" t="s">
        <v>15</v>
      </c>
      <c r="B5" s="320" t="s">
        <v>374</v>
      </c>
      <c r="C5" s="321"/>
      <c r="D5" s="321"/>
      <c r="E5" s="321"/>
      <c r="F5" s="322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65"/>
      <c r="I5" s="266"/>
      <c r="J5" s="117" t="s">
        <v>15</v>
      </c>
      <c r="K5" s="320" t="s">
        <v>379</v>
      </c>
      <c r="L5" s="321"/>
      <c r="M5" s="321"/>
      <c r="N5" s="321"/>
      <c r="O5" s="322"/>
    </row>
    <row r="6" spans="1:19">
      <c r="A6" s="117" t="s">
        <v>18</v>
      </c>
      <c r="B6" s="320"/>
      <c r="C6" s="321"/>
      <c r="D6" s="321"/>
      <c r="E6" s="321"/>
      <c r="F6" s="322"/>
      <c r="G6" s="258" t="s">
        <v>45</v>
      </c>
      <c r="H6" s="259"/>
      <c r="I6" s="260"/>
      <c r="J6" s="117" t="s">
        <v>18</v>
      </c>
      <c r="K6" s="320" t="s">
        <v>380</v>
      </c>
      <c r="L6" s="321"/>
      <c r="M6" s="321"/>
      <c r="N6" s="321"/>
      <c r="O6" s="322"/>
    </row>
    <row r="7" spans="1:19" ht="17.25" thickBot="1">
      <c r="A7" s="117" t="s">
        <v>21</v>
      </c>
      <c r="B7" s="320"/>
      <c r="C7" s="321"/>
      <c r="D7" s="321"/>
      <c r="E7" s="321"/>
      <c r="F7" s="322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65"/>
      <c r="I7" s="266"/>
      <c r="J7" s="117" t="s">
        <v>21</v>
      </c>
      <c r="K7" s="320" t="s">
        <v>381</v>
      </c>
      <c r="L7" s="321"/>
      <c r="M7" s="321"/>
      <c r="N7" s="321"/>
      <c r="O7" s="322"/>
    </row>
    <row r="8" spans="1:19" ht="17.25" thickBot="1">
      <c r="A8" s="117" t="s">
        <v>24</v>
      </c>
      <c r="B8" s="320"/>
      <c r="C8" s="321"/>
      <c r="D8" s="321"/>
      <c r="E8" s="321"/>
      <c r="F8" s="322"/>
      <c r="G8" s="258" t="s">
        <v>285</v>
      </c>
      <c r="H8" s="259"/>
      <c r="I8" s="260"/>
      <c r="J8" s="117" t="s">
        <v>24</v>
      </c>
      <c r="K8" s="320"/>
      <c r="L8" s="321"/>
      <c r="M8" s="321"/>
      <c r="N8" s="321"/>
      <c r="O8" s="322"/>
      <c r="Q8" s="249" t="s">
        <v>27</v>
      </c>
      <c r="R8" s="251"/>
    </row>
    <row r="9" spans="1:19" ht="17.25" thickBot="1">
      <c r="A9" s="117" t="s">
        <v>28</v>
      </c>
      <c r="B9" s="320"/>
      <c r="C9" s="321"/>
      <c r="D9" s="321"/>
      <c r="E9" s="321"/>
      <c r="F9" s="322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65"/>
      <c r="I9" s="266"/>
      <c r="J9" s="117" t="s">
        <v>28</v>
      </c>
      <c r="K9" s="320"/>
      <c r="L9" s="321"/>
      <c r="M9" s="321"/>
      <c r="N9" s="321"/>
      <c r="O9" s="322"/>
      <c r="Q9" s="120" t="s">
        <v>29</v>
      </c>
      <c r="R9" s="199">
        <v>10</v>
      </c>
    </row>
    <row r="10" spans="1:19">
      <c r="A10" s="117" t="s">
        <v>30</v>
      </c>
      <c r="B10" s="320"/>
      <c r="C10" s="321"/>
      <c r="D10" s="321"/>
      <c r="E10" s="321"/>
      <c r="F10" s="322"/>
      <c r="G10" s="258" t="s">
        <v>47</v>
      </c>
      <c r="H10" s="259"/>
      <c r="I10" s="260"/>
      <c r="J10" s="117" t="s">
        <v>30</v>
      </c>
      <c r="K10" s="320" t="s">
        <v>382</v>
      </c>
      <c r="L10" s="321"/>
      <c r="M10" s="321"/>
      <c r="N10" s="321"/>
      <c r="O10" s="322"/>
      <c r="Q10" s="120" t="s">
        <v>31</v>
      </c>
      <c r="R10" s="199">
        <v>100</v>
      </c>
    </row>
    <row r="11" spans="1:19" ht="17.25" thickBot="1">
      <c r="A11" s="118" t="s">
        <v>32</v>
      </c>
      <c r="B11" s="317" t="s">
        <v>383</v>
      </c>
      <c r="C11" s="318"/>
      <c r="D11" s="318"/>
      <c r="E11" s="318"/>
      <c r="F11" s="319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118" t="s">
        <v>32</v>
      </c>
      <c r="K11" s="317" t="s">
        <v>373</v>
      </c>
      <c r="L11" s="318"/>
      <c r="M11" s="318"/>
      <c r="N11" s="318"/>
      <c r="O11" s="319"/>
      <c r="Q11" s="189" t="s">
        <v>33</v>
      </c>
      <c r="R11" s="200">
        <v>1000</v>
      </c>
    </row>
    <row r="12" spans="1:19" ht="17.25" thickBot="1"/>
    <row r="13" spans="1:19" ht="17.25" customHeight="1" thickBot="1">
      <c r="A13" s="249" t="s">
        <v>34</v>
      </c>
      <c r="B13" s="250"/>
      <c r="C13" s="250"/>
      <c r="D13" s="250"/>
      <c r="E13" s="250"/>
      <c r="F13" s="250"/>
      <c r="G13" s="250"/>
      <c r="H13" s="250"/>
      <c r="I13" s="250"/>
      <c r="J13" s="250"/>
      <c r="K13" s="250"/>
      <c r="L13" s="250"/>
      <c r="M13" s="250"/>
      <c r="N13" s="250"/>
      <c r="O13" s="251"/>
      <c r="Q13" s="270"/>
      <c r="R13" s="270"/>
      <c r="S13" s="270"/>
    </row>
    <row r="14" spans="1:19" ht="17.25" customHeight="1" thickBot="1">
      <c r="A14" s="186" t="s">
        <v>35</v>
      </c>
      <c r="B14" s="249" t="s">
        <v>36</v>
      </c>
      <c r="C14" s="251"/>
      <c r="D14" s="249" t="s">
        <v>37</v>
      </c>
      <c r="E14" s="250"/>
      <c r="F14" s="251"/>
      <c r="G14" s="276">
        <f>_xlfn.IFNA(VLOOKUP(B14, 현재가테이블!$B$2:$D$200, 2, FALSE), "-")</f>
        <v>60874000</v>
      </c>
      <c r="H14" s="277"/>
      <c r="I14" s="278"/>
      <c r="J14" s="249" t="s">
        <v>38</v>
      </c>
      <c r="K14" s="250"/>
      <c r="L14" s="251"/>
      <c r="M14" s="279">
        <f>_xlfn.IFNA(VLOOKUP(B14, 현재가테이블!$B$2:$D$200, 3, FALSE), "-")</f>
        <v>-1.4936000099999999E-2</v>
      </c>
      <c r="N14" s="280"/>
      <c r="O14" s="281"/>
      <c r="Q14" s="270"/>
      <c r="R14" s="270"/>
      <c r="S14" s="270"/>
    </row>
    <row r="15" spans="1:19" ht="17.25" customHeight="1" thickBot="1">
      <c r="A15" s="314" t="s">
        <v>39</v>
      </c>
      <c r="B15" s="315" t="str">
        <f>TEXT($G$1, "[$-ko-KR]yyyy-mm-dd(ddd) ") &amp; "오전 00:00"</f>
        <v>2021-05-01(토) 오전 00:00</v>
      </c>
      <c r="C15" s="316"/>
      <c r="D15" s="249" t="str">
        <f>TEXT($G$1, "[$-ko-KR]yyyy-mm-dd(ddd) ") &amp; "오후 14:00"</f>
        <v>2021-05-01(토) 오후 14:00</v>
      </c>
      <c r="E15" s="250"/>
      <c r="F15" s="251"/>
      <c r="G15" s="249" t="str">
        <f>TEXT($G$1, "[$-ko-KR]yyyy-mm-dd(ddd) ") &amp; "오후 19:00"</f>
        <v>2021-05-01(토) 오후 19:00</v>
      </c>
      <c r="H15" s="250"/>
      <c r="I15" s="251"/>
      <c r="J15" s="249" t="str">
        <f>TEXT($G$1, "[$-ko-KR]yyyy-mm-dd(ddd) ") &amp; "오후 21:00"</f>
        <v>2021-05-01(토) 오후 21:00</v>
      </c>
      <c r="K15" s="250"/>
      <c r="L15" s="251"/>
      <c r="M15" s="249" t="str">
        <f>TEXT($G$1+1, "[$-ko-KR]yyyy-mm-dd(ddd) ") &amp; "오전 00:00"</f>
        <v>2021-05-02(일) 오전 00:00</v>
      </c>
      <c r="N15" s="250"/>
      <c r="O15" s="251"/>
      <c r="Q15" s="270"/>
      <c r="R15" s="270"/>
      <c r="S15" s="270"/>
    </row>
    <row r="16" spans="1:19" ht="17.25" customHeight="1" thickBot="1">
      <c r="A16" s="314"/>
      <c r="B16" s="120" t="s">
        <v>37</v>
      </c>
      <c r="C16" s="121" t="s">
        <v>38</v>
      </c>
      <c r="D16" s="120" t="s">
        <v>37</v>
      </c>
      <c r="E16" s="121" t="s">
        <v>40</v>
      </c>
      <c r="F16" s="196" t="s">
        <v>41</v>
      </c>
      <c r="G16" s="186" t="s">
        <v>37</v>
      </c>
      <c r="H16" s="187" t="s">
        <v>40</v>
      </c>
      <c r="I16" s="188" t="s">
        <v>41</v>
      </c>
      <c r="J16" s="121" t="s">
        <v>37</v>
      </c>
      <c r="K16" s="121" t="s">
        <v>40</v>
      </c>
      <c r="L16" s="190" t="s">
        <v>41</v>
      </c>
      <c r="M16" s="120" t="s">
        <v>37</v>
      </c>
      <c r="N16" s="121" t="s">
        <v>40</v>
      </c>
      <c r="O16" s="191" t="s">
        <v>41</v>
      </c>
      <c r="Q16" s="275"/>
      <c r="R16" s="275"/>
      <c r="S16" s="275"/>
    </row>
    <row r="17" spans="1:19" ht="17.25" customHeight="1" thickBot="1">
      <c r="A17" s="122"/>
      <c r="B17" s="123" t="str">
        <f>IF(NOT(ISBLANK(_xlfn.IFNA(VLOOKUP($A17, $A$40:$O$199, 2, FALSE), ))), _xlfn.IFNA(VLOOKUP($A17, $A$40:$O$199, 2, FALSE), ), "")</f>
        <v/>
      </c>
      <c r="C17" s="72" t="str">
        <f>IF(NOT(ISBLANK(_xlfn.IFNA(VLOOKUP($A17, $A$40:$O$199, 3, FALSE), ))), _xlfn.IFNA(VLOOKUP($A17, $A$40:$O$199, 3, FALSE), ), "")</f>
        <v/>
      </c>
      <c r="D17" s="123" t="str">
        <f>IF(NOT(ISBLANK(_xlfn.IFNA(VLOOKUP($A17, $A$40:$O$199, 4, FALSE), ))), _xlfn.IFNA(VLOOKUP($A17, $A$40:$O$199, 4, FALSE), ), "")</f>
        <v/>
      </c>
      <c r="E17" s="72" t="str">
        <f>IF(NOT(ISBLANK(_xlfn.IFNA(VLOOKUP($A17, $A$40:$O$199, 5, FALSE), ))), _xlfn.IFNA(VLOOKUP($A17, $A$40:$O$199, 5, FALSE), ), "")</f>
        <v/>
      </c>
      <c r="F17" s="140" t="str">
        <f>IF(NOT(ISBLANK(_xlfn.IFNA(VLOOKUP($A17, $A$40:$O$199, 6, FALSE), ))), _xlfn.IFNA(VLOOKUP($A17, $A$40:$O$199, 6, FALSE), ), "")</f>
        <v/>
      </c>
      <c r="G17" s="38" t="str">
        <f>IF(NOT(ISBLANK(_xlfn.IFNA(VLOOKUP($A17, $A$40:$O$199, 7, FALSE), ))), _xlfn.IFNA(VLOOKUP($A17, $A$40:$O$199, 7, FALSE), ), "")</f>
        <v/>
      </c>
      <c r="H17" s="72" t="str">
        <f>IF(NOT(ISBLANK(_xlfn.IFNA(VLOOKUP($A17, $A$40:$O$199, 8, FALSE), ))), _xlfn.IFNA(VLOOKUP($A17, $A$40:$O$199, 8, FALSE), ), "")</f>
        <v/>
      </c>
      <c r="I17" s="201" t="str">
        <f>IF(NOT(ISBLANK(_xlfn.IFNA(VLOOKUP($A17, $A$40:$O$199, 9, FALSE), ))), _xlfn.IFNA(VLOOKUP($A17, $A$40:$O$199, 9, FALSE), ), "")</f>
        <v/>
      </c>
      <c r="J17" s="123" t="str">
        <f>IF(NOT(ISBLANK(_xlfn.IFNA(VLOOKUP($A17, $A$40:$O$199, 10, FALSE), ))), _xlfn.IFNA(VLOOKUP($A17, $A$40:$O$199, 10, FALSE), ), "")</f>
        <v/>
      </c>
      <c r="K17" s="72" t="str">
        <f>IF(NOT(ISBLANK(_xlfn.IFNA(VLOOKUP($A17, $A$40:$O$199, 11, FALSE), ))), _xlfn.IFNA(VLOOKUP($A17, $A$40:$O$199, 11, FALSE), ), "")</f>
        <v/>
      </c>
      <c r="L17" s="140" t="str">
        <f>IF(NOT(ISBLANK(_xlfn.IFNA(VLOOKUP($A17, $A$40:$O$199, 12, FALSE), ))), _xlfn.IFNA(VLOOKUP($A17, $A$40:$O$199, 12, FALSE), ), "")</f>
        <v/>
      </c>
      <c r="M17" s="38" t="str">
        <f>IF(NOT(ISBLANK(_xlfn.IFNA(VLOOKUP($A17, $A$40:$O$199, 13, FALSE), ))), _xlfn.IFNA(VLOOKUP($A17, $A$40:$O$199, 13, FALSE), ), "")</f>
        <v/>
      </c>
      <c r="N17" s="72" t="str">
        <f>IF(NOT(ISBLANK(_xlfn.IFNA(VLOOKUP($A17, $A$40:$O$199, 14, FALSE), ))), _xlfn.IFNA(VLOOKUP($A17, $A$40:$O$199, 14, FALSE), ), "")</f>
        <v/>
      </c>
      <c r="O17" s="140" t="str">
        <f>IF(NOT(ISBLANK(_xlfn.IFNA(VLOOKUP($A17, $A$40:$O$199, 15, FALSE), ))), _xlfn.IFNA(VLOOKUP($A17, $A$40:$O$199, 15, FALSE), ), "")</f>
        <v/>
      </c>
      <c r="Q17" s="270"/>
      <c r="R17" s="270"/>
      <c r="S17" s="270"/>
    </row>
    <row r="18" spans="1:19" ht="17.25" customHeight="1" thickBot="1">
      <c r="A18" s="124"/>
      <c r="B18" s="125" t="str">
        <f t="shared" ref="B18:B36" si="0">IF(NOT(ISBLANK(_xlfn.IFNA(VLOOKUP($A18, $A$40:$O$199, 2, FALSE), ))), _xlfn.IFNA(VLOOKUP($A18, $A$40:$O$199, 2, FALSE), ), "")</f>
        <v/>
      </c>
      <c r="C18" s="73" t="str">
        <f t="shared" ref="C18:C36" si="1">IF(NOT(ISBLANK(_xlfn.IFNA(VLOOKUP($A18, $A$40:$O$199, 3, FALSE), ))), _xlfn.IFNA(VLOOKUP($A18, $A$40:$O$199, 3, FALSE), ), "")</f>
        <v/>
      </c>
      <c r="D18" s="125" t="str">
        <f t="shared" ref="D18:D36" si="2">IF(NOT(ISBLANK(_xlfn.IFNA(VLOOKUP($A18, $A$40:$O$199, 4, FALSE), ))), _xlfn.IFNA(VLOOKUP($A18, $A$40:$O$199, 4, FALSE), ), "")</f>
        <v/>
      </c>
      <c r="E18" s="73" t="str">
        <f t="shared" ref="E18:E36" si="3">IF(NOT(ISBLANK(_xlfn.IFNA(VLOOKUP($A18, $A$40:$O$199, 5, FALSE), ))), _xlfn.IFNA(VLOOKUP($A18, $A$40:$O$199, 5, FALSE), ), "")</f>
        <v/>
      </c>
      <c r="F18" s="136" t="str">
        <f t="shared" ref="F18:F36" si="4">IF(NOT(ISBLANK(_xlfn.IFNA(VLOOKUP($A18, $A$40:$O$199, 6, FALSE), ))), _xlfn.IFNA(VLOOKUP($A18, $A$40:$O$199, 6, FALSE), ), "")</f>
        <v/>
      </c>
      <c r="G18" s="39" t="str">
        <f t="shared" ref="G18:G36" si="5">IF(NOT(ISBLANK(_xlfn.IFNA(VLOOKUP($A18, $A$40:$O$199, 7, FALSE), ))), _xlfn.IFNA(VLOOKUP($A18, $A$40:$O$199, 7, FALSE), ), "")</f>
        <v/>
      </c>
      <c r="H18" s="73" t="str">
        <f t="shared" ref="H18:H36" si="6">IF(NOT(ISBLANK(_xlfn.IFNA(VLOOKUP($A18, $A$40:$O$199, 8, FALSE), ))), _xlfn.IFNA(VLOOKUP($A18, $A$40:$O$199, 8, FALSE), ), "")</f>
        <v/>
      </c>
      <c r="I18" s="202" t="str">
        <f t="shared" ref="I18:I36" si="7">IF(NOT(ISBLANK(_xlfn.IFNA(VLOOKUP($A18, $A$40:$O$199, 9, FALSE), ))), _xlfn.IFNA(VLOOKUP($A18, $A$40:$O$199, 9, FALSE), ), "")</f>
        <v/>
      </c>
      <c r="J18" s="125" t="str">
        <f t="shared" ref="J18:J36" si="8">IF(NOT(ISBLANK(_xlfn.IFNA(VLOOKUP($A18, $A$40:$O$199, 10, FALSE), ))), _xlfn.IFNA(VLOOKUP($A18, $A$40:$O$199, 10, FALSE), ), "")</f>
        <v/>
      </c>
      <c r="K18" s="73" t="str">
        <f t="shared" ref="K18:K36" si="9">IF(NOT(ISBLANK(_xlfn.IFNA(VLOOKUP($A18, $A$40:$O$199, 11, FALSE), ))), _xlfn.IFNA(VLOOKUP($A18, $A$40:$O$199, 11, FALSE), ), "")</f>
        <v/>
      </c>
      <c r="L18" s="136" t="str">
        <f t="shared" ref="L18:L36" si="10">IF(NOT(ISBLANK(_xlfn.IFNA(VLOOKUP($A18, $A$40:$O$199, 12, FALSE), ))), _xlfn.IFNA(VLOOKUP($A18, $A$40:$O$199, 12, FALSE), ), "")</f>
        <v/>
      </c>
      <c r="M18" s="39" t="str">
        <f t="shared" ref="M18:M36" si="11">IF(NOT(ISBLANK(_xlfn.IFNA(VLOOKUP($A18, $A$40:$O$199, 13, FALSE), ))), _xlfn.IFNA(VLOOKUP($A18, $A$40:$O$199, 13, FALSE), ), "")</f>
        <v/>
      </c>
      <c r="N18" s="73" t="str">
        <f t="shared" ref="N18:N36" si="12">IF(NOT(ISBLANK(_xlfn.IFNA(VLOOKUP($A18, $A$40:$O$199, 14, FALSE), ))), _xlfn.IFNA(VLOOKUP($A18, $A$40:$O$199, 14, FALSE), ), "")</f>
        <v/>
      </c>
      <c r="O18" s="136" t="str">
        <f t="shared" ref="O18:O36" si="13">IF(NOT(ISBLANK(_xlfn.IFNA(VLOOKUP($A18, $A$40:$O$199, 15, FALSE), ))), _xlfn.IFNA(VLOOKUP($A18, $A$40:$O$199, 15, FALSE), ), "")</f>
        <v/>
      </c>
      <c r="Q18" s="270"/>
      <c r="R18" s="270"/>
      <c r="S18" s="270"/>
    </row>
    <row r="19" spans="1:19" ht="17.25" customHeight="1" thickBot="1">
      <c r="A19" s="124"/>
      <c r="B19" s="125" t="str">
        <f t="shared" si="0"/>
        <v/>
      </c>
      <c r="C19" s="73" t="str">
        <f t="shared" si="1"/>
        <v/>
      </c>
      <c r="D19" s="125" t="str">
        <f t="shared" si="2"/>
        <v/>
      </c>
      <c r="E19" s="73" t="str">
        <f t="shared" si="3"/>
        <v/>
      </c>
      <c r="F19" s="136" t="str">
        <f t="shared" si="4"/>
        <v/>
      </c>
      <c r="G19" s="39" t="str">
        <f t="shared" si="5"/>
        <v/>
      </c>
      <c r="H19" s="73" t="str">
        <f t="shared" si="6"/>
        <v/>
      </c>
      <c r="I19" s="202" t="str">
        <f t="shared" si="7"/>
        <v/>
      </c>
      <c r="J19" s="125" t="str">
        <f t="shared" si="8"/>
        <v/>
      </c>
      <c r="K19" s="73" t="str">
        <f t="shared" si="9"/>
        <v/>
      </c>
      <c r="L19" s="136" t="str">
        <f t="shared" si="10"/>
        <v/>
      </c>
      <c r="M19" s="39" t="str">
        <f t="shared" si="11"/>
        <v/>
      </c>
      <c r="N19" s="73" t="str">
        <f t="shared" si="12"/>
        <v/>
      </c>
      <c r="O19" s="136" t="str">
        <f t="shared" si="13"/>
        <v/>
      </c>
      <c r="Q19" s="275"/>
      <c r="R19" s="275"/>
      <c r="S19" s="275"/>
    </row>
    <row r="20" spans="1:19" ht="17.25" customHeight="1" thickBot="1">
      <c r="A20" s="124"/>
      <c r="B20" s="125" t="str">
        <f t="shared" si="0"/>
        <v/>
      </c>
      <c r="C20" s="73" t="str">
        <f t="shared" si="1"/>
        <v/>
      </c>
      <c r="D20" s="125" t="str">
        <f t="shared" si="2"/>
        <v/>
      </c>
      <c r="E20" s="73" t="str">
        <f t="shared" si="3"/>
        <v/>
      </c>
      <c r="F20" s="136" t="str">
        <f t="shared" si="4"/>
        <v/>
      </c>
      <c r="G20" s="39" t="str">
        <f t="shared" si="5"/>
        <v/>
      </c>
      <c r="H20" s="73" t="str">
        <f t="shared" si="6"/>
        <v/>
      </c>
      <c r="I20" s="202" t="str">
        <f t="shared" si="7"/>
        <v/>
      </c>
      <c r="J20" s="125" t="str">
        <f t="shared" si="8"/>
        <v/>
      </c>
      <c r="K20" s="73" t="str">
        <f t="shared" si="9"/>
        <v/>
      </c>
      <c r="L20" s="136" t="str">
        <f t="shared" si="10"/>
        <v/>
      </c>
      <c r="M20" s="39" t="str">
        <f t="shared" si="11"/>
        <v/>
      </c>
      <c r="N20" s="73" t="str">
        <f t="shared" si="12"/>
        <v/>
      </c>
      <c r="O20" s="136" t="str">
        <f t="shared" si="13"/>
        <v/>
      </c>
      <c r="Q20" s="275"/>
      <c r="R20" s="275"/>
      <c r="S20" s="275"/>
    </row>
    <row r="21" spans="1:19" ht="17.25" customHeight="1" thickBot="1">
      <c r="A21" s="126"/>
      <c r="B21" s="127" t="str">
        <f t="shared" si="0"/>
        <v/>
      </c>
      <c r="C21" s="74" t="str">
        <f t="shared" si="1"/>
        <v/>
      </c>
      <c r="D21" s="127" t="str">
        <f t="shared" si="2"/>
        <v/>
      </c>
      <c r="E21" s="74" t="str">
        <f t="shared" si="3"/>
        <v/>
      </c>
      <c r="F21" s="203" t="str">
        <f t="shared" si="4"/>
        <v/>
      </c>
      <c r="G21" s="44" t="str">
        <f t="shared" si="5"/>
        <v/>
      </c>
      <c r="H21" s="74" t="str">
        <f t="shared" si="6"/>
        <v/>
      </c>
      <c r="I21" s="204" t="str">
        <f t="shared" si="7"/>
        <v/>
      </c>
      <c r="J21" s="127" t="str">
        <f t="shared" si="8"/>
        <v/>
      </c>
      <c r="K21" s="74" t="str">
        <f t="shared" si="9"/>
        <v/>
      </c>
      <c r="L21" s="203" t="str">
        <f t="shared" si="10"/>
        <v/>
      </c>
      <c r="M21" s="44" t="str">
        <f t="shared" si="11"/>
        <v/>
      </c>
      <c r="N21" s="74" t="str">
        <f t="shared" si="12"/>
        <v/>
      </c>
      <c r="O21" s="203" t="str">
        <f t="shared" si="13"/>
        <v/>
      </c>
      <c r="Q21" s="275"/>
      <c r="R21" s="275"/>
      <c r="S21" s="275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28" t="str">
        <f t="shared" si="2"/>
        <v/>
      </c>
      <c r="E22" s="76" t="str">
        <f t="shared" si="3"/>
        <v/>
      </c>
      <c r="F22" s="205" t="str">
        <f t="shared" si="4"/>
        <v/>
      </c>
      <c r="G22" s="45" t="str">
        <f t="shared" si="5"/>
        <v/>
      </c>
      <c r="H22" s="76" t="str">
        <f t="shared" si="6"/>
        <v/>
      </c>
      <c r="I22" s="206" t="str">
        <f t="shared" si="7"/>
        <v/>
      </c>
      <c r="J22" s="128" t="str">
        <f t="shared" si="8"/>
        <v/>
      </c>
      <c r="K22" s="76" t="str">
        <f t="shared" si="9"/>
        <v/>
      </c>
      <c r="L22" s="205" t="str">
        <f t="shared" si="10"/>
        <v/>
      </c>
      <c r="M22" s="45" t="str">
        <f t="shared" si="11"/>
        <v/>
      </c>
      <c r="N22" s="76" t="str">
        <f t="shared" si="12"/>
        <v/>
      </c>
      <c r="O22" s="205" t="str">
        <f t="shared" si="13"/>
        <v/>
      </c>
      <c r="Q22" s="275"/>
      <c r="R22" s="275"/>
      <c r="S22" s="275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25" t="str">
        <f t="shared" si="2"/>
        <v/>
      </c>
      <c r="E23" s="73" t="str">
        <f t="shared" si="3"/>
        <v/>
      </c>
      <c r="F23" s="136" t="str">
        <f t="shared" si="4"/>
        <v/>
      </c>
      <c r="G23" s="39" t="str">
        <f t="shared" si="5"/>
        <v/>
      </c>
      <c r="H23" s="73" t="str">
        <f t="shared" si="6"/>
        <v/>
      </c>
      <c r="I23" s="202" t="str">
        <f t="shared" si="7"/>
        <v/>
      </c>
      <c r="J23" s="125" t="str">
        <f t="shared" si="8"/>
        <v/>
      </c>
      <c r="K23" s="73" t="str">
        <f t="shared" si="9"/>
        <v/>
      </c>
      <c r="L23" s="136" t="str">
        <f t="shared" si="10"/>
        <v/>
      </c>
      <c r="M23" s="39" t="str">
        <f t="shared" si="11"/>
        <v/>
      </c>
      <c r="N23" s="73" t="str">
        <f t="shared" si="12"/>
        <v/>
      </c>
      <c r="O23" s="136" t="str">
        <f t="shared" si="13"/>
        <v/>
      </c>
      <c r="Q23" s="275"/>
      <c r="R23" s="275"/>
      <c r="S23" s="275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25" t="str">
        <f t="shared" si="2"/>
        <v/>
      </c>
      <c r="E24" s="73" t="str">
        <f t="shared" si="3"/>
        <v/>
      </c>
      <c r="F24" s="136" t="str">
        <f t="shared" si="4"/>
        <v/>
      </c>
      <c r="G24" s="39" t="str">
        <f t="shared" si="5"/>
        <v/>
      </c>
      <c r="H24" s="73" t="str">
        <f t="shared" si="6"/>
        <v/>
      </c>
      <c r="I24" s="202" t="str">
        <f t="shared" si="7"/>
        <v/>
      </c>
      <c r="J24" s="125" t="str">
        <f t="shared" si="8"/>
        <v/>
      </c>
      <c r="K24" s="73" t="str">
        <f t="shared" si="9"/>
        <v/>
      </c>
      <c r="L24" s="136" t="str">
        <f t="shared" si="10"/>
        <v/>
      </c>
      <c r="M24" s="39" t="str">
        <f t="shared" si="11"/>
        <v/>
      </c>
      <c r="N24" s="73" t="str">
        <f t="shared" si="12"/>
        <v/>
      </c>
      <c r="O24" s="136" t="str">
        <f t="shared" si="13"/>
        <v/>
      </c>
      <c r="Q24" s="275"/>
      <c r="R24" s="275"/>
      <c r="S24" s="275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25" t="str">
        <f t="shared" si="2"/>
        <v/>
      </c>
      <c r="E25" s="73" t="str">
        <f t="shared" si="3"/>
        <v/>
      </c>
      <c r="F25" s="136" t="str">
        <f t="shared" si="4"/>
        <v/>
      </c>
      <c r="G25" s="39" t="str">
        <f t="shared" si="5"/>
        <v/>
      </c>
      <c r="H25" s="73" t="str">
        <f t="shared" si="6"/>
        <v/>
      </c>
      <c r="I25" s="202" t="str">
        <f t="shared" si="7"/>
        <v/>
      </c>
      <c r="J25" s="125" t="str">
        <f t="shared" si="8"/>
        <v/>
      </c>
      <c r="K25" s="73" t="str">
        <f t="shared" si="9"/>
        <v/>
      </c>
      <c r="L25" s="136" t="str">
        <f t="shared" si="10"/>
        <v/>
      </c>
      <c r="M25" s="39" t="str">
        <f t="shared" si="11"/>
        <v/>
      </c>
      <c r="N25" s="73" t="str">
        <f t="shared" si="12"/>
        <v/>
      </c>
      <c r="O25" s="136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130" t="str">
        <f t="shared" si="2"/>
        <v/>
      </c>
      <c r="E26" s="75" t="str">
        <f t="shared" si="3"/>
        <v/>
      </c>
      <c r="F26" s="137" t="str">
        <f t="shared" si="4"/>
        <v/>
      </c>
      <c r="G26" s="37" t="str">
        <f t="shared" si="5"/>
        <v/>
      </c>
      <c r="H26" s="75" t="str">
        <f t="shared" si="6"/>
        <v/>
      </c>
      <c r="I26" s="207" t="str">
        <f t="shared" si="7"/>
        <v/>
      </c>
      <c r="J26" s="130" t="str">
        <f t="shared" si="8"/>
        <v/>
      </c>
      <c r="K26" s="75" t="str">
        <f t="shared" si="9"/>
        <v/>
      </c>
      <c r="L26" s="137" t="str">
        <f t="shared" si="10"/>
        <v/>
      </c>
      <c r="M26" s="37" t="str">
        <f t="shared" si="11"/>
        <v/>
      </c>
      <c r="N26" s="75" t="str">
        <f t="shared" si="12"/>
        <v/>
      </c>
      <c r="O26" s="137" t="str">
        <f t="shared" si="13"/>
        <v/>
      </c>
      <c r="Q26" s="284"/>
      <c r="R26" s="285"/>
      <c r="S26" s="286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23" t="str">
        <f t="shared" si="2"/>
        <v/>
      </c>
      <c r="E27" s="72" t="str">
        <f t="shared" si="3"/>
        <v/>
      </c>
      <c r="F27" s="140" t="str">
        <f t="shared" si="4"/>
        <v/>
      </c>
      <c r="G27" s="38" t="str">
        <f t="shared" si="5"/>
        <v/>
      </c>
      <c r="H27" s="72" t="str">
        <f t="shared" si="6"/>
        <v/>
      </c>
      <c r="I27" s="201" t="str">
        <f t="shared" si="7"/>
        <v/>
      </c>
      <c r="J27" s="123" t="str">
        <f t="shared" si="8"/>
        <v/>
      </c>
      <c r="K27" s="72" t="str">
        <f t="shared" si="9"/>
        <v/>
      </c>
      <c r="L27" s="140" t="str">
        <f t="shared" si="10"/>
        <v/>
      </c>
      <c r="M27" s="38" t="str">
        <f t="shared" si="11"/>
        <v/>
      </c>
      <c r="N27" s="72" t="str">
        <f t="shared" si="12"/>
        <v/>
      </c>
      <c r="O27" s="140" t="str">
        <f t="shared" si="13"/>
        <v/>
      </c>
      <c r="Q27" s="287"/>
      <c r="R27" s="288"/>
      <c r="S27" s="289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25" t="str">
        <f t="shared" si="2"/>
        <v/>
      </c>
      <c r="E28" s="73" t="str">
        <f t="shared" si="3"/>
        <v/>
      </c>
      <c r="F28" s="136" t="str">
        <f t="shared" si="4"/>
        <v/>
      </c>
      <c r="G28" s="39" t="str">
        <f t="shared" si="5"/>
        <v/>
      </c>
      <c r="H28" s="73" t="str">
        <f t="shared" si="6"/>
        <v/>
      </c>
      <c r="I28" s="202" t="str">
        <f t="shared" si="7"/>
        <v/>
      </c>
      <c r="J28" s="125" t="str">
        <f t="shared" si="8"/>
        <v/>
      </c>
      <c r="K28" s="73" t="str">
        <f t="shared" si="9"/>
        <v/>
      </c>
      <c r="L28" s="136" t="str">
        <f t="shared" si="10"/>
        <v/>
      </c>
      <c r="M28" s="39" t="str">
        <f t="shared" si="11"/>
        <v/>
      </c>
      <c r="N28" s="73" t="str">
        <f t="shared" si="12"/>
        <v/>
      </c>
      <c r="O28" s="136" t="str">
        <f t="shared" si="13"/>
        <v/>
      </c>
      <c r="Q28" s="290"/>
      <c r="R28" s="291"/>
      <c r="S28" s="292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25" t="str">
        <f t="shared" si="2"/>
        <v/>
      </c>
      <c r="E29" s="73" t="str">
        <f t="shared" si="3"/>
        <v/>
      </c>
      <c r="F29" s="136" t="str">
        <f t="shared" si="4"/>
        <v/>
      </c>
      <c r="G29" s="39" t="str">
        <f t="shared" si="5"/>
        <v/>
      </c>
      <c r="H29" s="73" t="str">
        <f t="shared" si="6"/>
        <v/>
      </c>
      <c r="I29" s="202" t="str">
        <f t="shared" si="7"/>
        <v/>
      </c>
      <c r="J29" s="125" t="str">
        <f t="shared" si="8"/>
        <v/>
      </c>
      <c r="K29" s="73" t="str">
        <f t="shared" si="9"/>
        <v/>
      </c>
      <c r="L29" s="136" t="str">
        <f t="shared" si="10"/>
        <v/>
      </c>
      <c r="M29" s="39" t="str">
        <f t="shared" si="11"/>
        <v/>
      </c>
      <c r="N29" s="73" t="str">
        <f t="shared" si="12"/>
        <v/>
      </c>
      <c r="O29" s="136" t="str">
        <f t="shared" si="13"/>
        <v/>
      </c>
      <c r="Q29" s="275"/>
      <c r="R29" s="275"/>
      <c r="S29" s="275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25" t="str">
        <f t="shared" si="2"/>
        <v/>
      </c>
      <c r="E30" s="73" t="str">
        <f t="shared" si="3"/>
        <v/>
      </c>
      <c r="F30" s="136" t="str">
        <f t="shared" si="4"/>
        <v/>
      </c>
      <c r="G30" s="39" t="str">
        <f t="shared" si="5"/>
        <v/>
      </c>
      <c r="H30" s="73" t="str">
        <f t="shared" si="6"/>
        <v/>
      </c>
      <c r="I30" s="202" t="str">
        <f t="shared" si="7"/>
        <v/>
      </c>
      <c r="J30" s="125" t="str">
        <f t="shared" si="8"/>
        <v/>
      </c>
      <c r="K30" s="73" t="str">
        <f t="shared" si="9"/>
        <v/>
      </c>
      <c r="L30" s="136" t="str">
        <f t="shared" si="10"/>
        <v/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270"/>
      <c r="R30" s="270"/>
      <c r="S30" s="270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270"/>
      <c r="R31" s="270"/>
      <c r="S31" s="270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275"/>
      <c r="R32" s="275"/>
      <c r="S32" s="275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275"/>
      <c r="R33" s="275"/>
      <c r="S33" s="275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275"/>
      <c r="R34" s="275"/>
      <c r="S34" s="275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297"/>
      <c r="R35" s="298"/>
      <c r="S35" s="299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00"/>
      <c r="R36" s="301"/>
      <c r="S36" s="302"/>
    </row>
    <row r="37" spans="1:19" ht="17.25" customHeight="1" thickBot="1">
      <c r="A37" s="131" t="s">
        <v>42</v>
      </c>
      <c r="B37" s="308">
        <v>150000</v>
      </c>
      <c r="C37" s="309"/>
      <c r="D37" s="131" t="s">
        <v>43</v>
      </c>
      <c r="E37" s="195">
        <f>IF(COUNT(E17:E36), SUM(E17:E36) / COUNT(E17:E36), 0)</f>
        <v>0</v>
      </c>
      <c r="F37" s="208">
        <f>SUM(F17:F36)</f>
        <v>0</v>
      </c>
      <c r="G37" s="131" t="s">
        <v>43</v>
      </c>
      <c r="H37" s="195">
        <f>IF(COUNT(H17:H36), SUM(H17:H36) / COUNT(H17:H36), 0)</f>
        <v>0</v>
      </c>
      <c r="I37" s="208">
        <f>SUM(I17:I36)</f>
        <v>0</v>
      </c>
      <c r="J37" s="131" t="s">
        <v>43</v>
      </c>
      <c r="K37" s="195">
        <f>IF(COUNT(K17:K36), SUM(K17:K36) / COUNT(K17:K36), 0)</f>
        <v>0</v>
      </c>
      <c r="L37" s="208">
        <f>SUM(L17:L36)</f>
        <v>0</v>
      </c>
      <c r="M37" s="131" t="s">
        <v>43</v>
      </c>
      <c r="N37" s="195">
        <f>IF(COUNT(N17:N36), SUM(N17:N36) / COUNT(N17:N36), 0)</f>
        <v>0</v>
      </c>
      <c r="O37" s="208">
        <f>SUM(O17:O36)</f>
        <v>0</v>
      </c>
      <c r="Q37" s="303"/>
      <c r="R37" s="304"/>
      <c r="S37" s="305"/>
    </row>
    <row r="38" spans="1:19" ht="17.25" customHeight="1"/>
    <row r="39" spans="1:19" ht="17.25" customHeight="1" thickBot="1"/>
    <row r="40" spans="1:19" ht="17.25" customHeight="1" thickBot="1">
      <c r="A40" s="249" t="s">
        <v>44</v>
      </c>
      <c r="B40" s="250"/>
      <c r="C40" s="250"/>
      <c r="D40" s="250"/>
      <c r="E40" s="250"/>
      <c r="F40" s="250"/>
      <c r="G40" s="250"/>
      <c r="H40" s="250"/>
      <c r="I40" s="250"/>
      <c r="J40" s="250"/>
      <c r="K40" s="250"/>
      <c r="L40" s="250"/>
      <c r="M40" s="250"/>
      <c r="N40" s="250"/>
      <c r="O40" s="251"/>
      <c r="Q40" s="270"/>
      <c r="R40" s="270"/>
      <c r="S40" s="270"/>
    </row>
    <row r="41" spans="1:19" ht="17.25" customHeight="1" thickBot="1">
      <c r="A41" s="186" t="s">
        <v>298</v>
      </c>
      <c r="B41" s="249" t="s">
        <v>49</v>
      </c>
      <c r="C41" s="251"/>
      <c r="D41" s="249" t="s">
        <v>58</v>
      </c>
      <c r="E41" s="250"/>
      <c r="F41" s="251"/>
      <c r="G41" s="276">
        <f>_xlfn.IFNA(VLOOKUP(B41, 현재가테이블!$B$2:$D$200, 2, FALSE), "-")</f>
        <v>60874000</v>
      </c>
      <c r="H41" s="277"/>
      <c r="I41" s="278"/>
      <c r="J41" s="249" t="s">
        <v>59</v>
      </c>
      <c r="K41" s="250"/>
      <c r="L41" s="251"/>
      <c r="M41" s="279">
        <f>_xlfn.IFNA(VLOOKUP(B41, 현재가테이블!$B$2:$D$200, 3, FALSE), "-")</f>
        <v>-1.4936000099999999E-2</v>
      </c>
      <c r="N41" s="280"/>
      <c r="O41" s="281"/>
      <c r="Q41" s="270"/>
      <c r="R41" s="270"/>
      <c r="S41" s="270"/>
    </row>
    <row r="42" spans="1:19" ht="17.25" customHeight="1" thickBot="1">
      <c r="A42" s="310" t="s">
        <v>55</v>
      </c>
      <c r="B42" s="312" t="str">
        <f>TEXT($G$1, "[$-ko-KR]yyyy-mm-dd(ddd) ") &amp; "오전 00:00"</f>
        <v>2021-05-01(토) 오전 00:00</v>
      </c>
      <c r="C42" s="313"/>
      <c r="D42" s="249" t="str">
        <f>TEXT($G$1, "[$-ko-KR]yyyy-mm-dd(ddd) ") &amp; "오후 14:00"</f>
        <v>2021-05-01(토) 오후 14:00</v>
      </c>
      <c r="E42" s="250"/>
      <c r="F42" s="251"/>
      <c r="G42" s="249" t="str">
        <f>TEXT($G$1, "[$-ko-KR]yyyy-mm-dd(ddd) ") &amp; "오후 19:00"</f>
        <v>2021-05-01(토) 오후 19:00</v>
      </c>
      <c r="H42" s="250"/>
      <c r="I42" s="251"/>
      <c r="J42" s="249" t="str">
        <f>TEXT($G$1, "[$-ko-KR]yyyy-mm-dd(ddd) ") &amp; "오후 21:00"</f>
        <v>2021-05-01(토) 오후 21:00</v>
      </c>
      <c r="K42" s="250"/>
      <c r="L42" s="251"/>
      <c r="M42" s="249" t="str">
        <f>TEXT($G$1+1, "[$-ko-KR]yyyy-mm-dd(ddd) ") &amp; "오전 00:00"</f>
        <v>2021-05-02(일) 오전 00:00</v>
      </c>
      <c r="N42" s="250"/>
      <c r="O42" s="251"/>
      <c r="Q42" s="270"/>
      <c r="R42" s="270"/>
      <c r="S42" s="270"/>
    </row>
    <row r="43" spans="1:19" ht="17.25" customHeight="1" thickBot="1">
      <c r="A43" s="311"/>
      <c r="B43" s="120" t="s">
        <v>58</v>
      </c>
      <c r="C43" s="121" t="s">
        <v>59</v>
      </c>
      <c r="D43" s="120" t="s">
        <v>58</v>
      </c>
      <c r="E43" s="121" t="s">
        <v>299</v>
      </c>
      <c r="F43" s="196" t="s">
        <v>300</v>
      </c>
      <c r="G43" s="186" t="s">
        <v>58</v>
      </c>
      <c r="H43" s="187" t="s">
        <v>299</v>
      </c>
      <c r="I43" s="188" t="s">
        <v>300</v>
      </c>
      <c r="J43" s="121" t="s">
        <v>58</v>
      </c>
      <c r="K43" s="121" t="s">
        <v>299</v>
      </c>
      <c r="L43" s="190" t="s">
        <v>300</v>
      </c>
      <c r="M43" s="120" t="s">
        <v>58</v>
      </c>
      <c r="N43" s="121" t="s">
        <v>299</v>
      </c>
      <c r="O43" s="191" t="s">
        <v>300</v>
      </c>
      <c r="Q43" s="275"/>
      <c r="R43" s="275"/>
      <c r="S43" s="275"/>
    </row>
    <row r="44" spans="1:19" ht="17.25" customHeight="1" thickBot="1">
      <c r="A44" s="122"/>
      <c r="B44" s="123"/>
      <c r="C44" s="72"/>
      <c r="D44" s="123"/>
      <c r="E44" s="72" t="str">
        <f>IF(ISNUMBER(D44), (D44 - $B44) / $B44, "")</f>
        <v/>
      </c>
      <c r="F44" s="140" t="str">
        <f>IF(ISNUMBER(D44), $B64 * E44, "")</f>
        <v/>
      </c>
      <c r="G44" s="38"/>
      <c r="H44" s="72" t="str">
        <f>IF(ISNUMBER(G44), (G44 - $B44) / $B44, "")</f>
        <v/>
      </c>
      <c r="I44" s="201" t="str">
        <f>IF(ISNUMBER(G44), $B64 * H44, "")</f>
        <v/>
      </c>
      <c r="J44" s="123"/>
      <c r="K44" s="72" t="str">
        <f>IF(ISNUMBER(J44), (J44 - $B44) / $B44, "")</f>
        <v/>
      </c>
      <c r="L44" s="140" t="str">
        <f>IF(ISNUMBER(J44), $B64 * K44, "")</f>
        <v/>
      </c>
      <c r="M44" s="38"/>
      <c r="N44" s="72" t="str">
        <f>IF(ISNUMBER(M44), (M44 - $B44) / $B44, "")</f>
        <v/>
      </c>
      <c r="O44" s="140" t="str">
        <f>IF(ISNUMBER(M44), $B64 * N44, "")</f>
        <v/>
      </c>
      <c r="Q44" s="270"/>
      <c r="R44" s="270"/>
      <c r="S44" s="270"/>
    </row>
    <row r="45" spans="1:19" ht="17.25" customHeight="1" thickBot="1">
      <c r="A45" s="124"/>
      <c r="B45" s="125"/>
      <c r="C45" s="73"/>
      <c r="D45" s="125"/>
      <c r="E45" s="73" t="str">
        <f t="shared" ref="E45:E48" si="14">IF(ISNUMBER(D45), (D45 - $B45) / $B45, "")</f>
        <v/>
      </c>
      <c r="F45" s="136" t="str">
        <f>IF(ISNUMBER(D45), $B64 * E45, "")</f>
        <v/>
      </c>
      <c r="G45" s="39"/>
      <c r="H45" s="73" t="str">
        <f t="shared" ref="H45:H48" si="15">IF(ISNUMBER(G45), (G45 - $B45) / $B45, "")</f>
        <v/>
      </c>
      <c r="I45" s="202" t="str">
        <f>IF(ISNUMBER(G45), $B64 * H45, "")</f>
        <v/>
      </c>
      <c r="J45" s="125"/>
      <c r="K45" s="73" t="str">
        <f t="shared" ref="K45:K48" si="16">IF(ISNUMBER(J45), (J45 - $B45) / $B45, "")</f>
        <v/>
      </c>
      <c r="L45" s="136" t="str">
        <f>IF(ISNUMBER(J45), $B64 * K45, "")</f>
        <v/>
      </c>
      <c r="M45" s="39"/>
      <c r="N45" s="73" t="str">
        <f t="shared" ref="N45:N48" si="17">IF(ISNUMBER(M45), (M45 - $B45) / $B45, "")</f>
        <v/>
      </c>
      <c r="O45" s="136" t="str">
        <f>IF(ISNUMBER(M45), $B64 * N45, "")</f>
        <v/>
      </c>
      <c r="Q45" s="270"/>
      <c r="R45" s="270"/>
      <c r="S45" s="270"/>
    </row>
    <row r="46" spans="1:19" ht="17.25" customHeight="1" thickBot="1">
      <c r="A46" s="124"/>
      <c r="B46" s="125"/>
      <c r="C46" s="73"/>
      <c r="D46" s="125"/>
      <c r="E46" s="73" t="str">
        <f t="shared" si="14"/>
        <v/>
      </c>
      <c r="F46" s="136" t="str">
        <f>IF(ISNUMBER(D46), $B64 * E46, "")</f>
        <v/>
      </c>
      <c r="G46" s="39"/>
      <c r="H46" s="73" t="str">
        <f t="shared" si="15"/>
        <v/>
      </c>
      <c r="I46" s="202" t="str">
        <f>IF(ISNUMBER(G46), $B64 * H46, "")</f>
        <v/>
      </c>
      <c r="J46" s="125"/>
      <c r="K46" s="73" t="str">
        <f t="shared" si="16"/>
        <v/>
      </c>
      <c r="L46" s="136" t="str">
        <f>IF(ISNUMBER(J46), $B64 * K46, "")</f>
        <v/>
      </c>
      <c r="M46" s="39"/>
      <c r="N46" s="73" t="str">
        <f t="shared" si="17"/>
        <v/>
      </c>
      <c r="O46" s="136" t="str">
        <f>IF(ISNUMBER(M46), $B64 * N46, "")</f>
        <v/>
      </c>
      <c r="Q46" s="275"/>
      <c r="R46" s="275"/>
      <c r="S46" s="275"/>
    </row>
    <row r="47" spans="1:19" ht="17.25" customHeight="1" thickBot="1">
      <c r="A47" s="124"/>
      <c r="B47" s="125"/>
      <c r="C47" s="73"/>
      <c r="D47" s="125"/>
      <c r="E47" s="73" t="str">
        <f t="shared" si="14"/>
        <v/>
      </c>
      <c r="F47" s="136" t="str">
        <f>IF(ISNUMBER(D47), $B64 * E47, "")</f>
        <v/>
      </c>
      <c r="G47" s="39"/>
      <c r="H47" s="73" t="str">
        <f t="shared" si="15"/>
        <v/>
      </c>
      <c r="I47" s="202" t="str">
        <f>IF(ISNUMBER(G47), $B64 * H47, "")</f>
        <v/>
      </c>
      <c r="J47" s="125"/>
      <c r="K47" s="73" t="str">
        <f t="shared" si="16"/>
        <v/>
      </c>
      <c r="L47" s="136" t="str">
        <f>IF(ISNUMBER(J47), $B64 * K47, "")</f>
        <v/>
      </c>
      <c r="M47" s="39"/>
      <c r="N47" s="73" t="str">
        <f t="shared" si="17"/>
        <v/>
      </c>
      <c r="O47" s="136" t="str">
        <f>IF(ISNUMBER(M47), $B64 * N47, "")</f>
        <v/>
      </c>
      <c r="Q47" s="275"/>
      <c r="R47" s="275"/>
      <c r="S47" s="275"/>
    </row>
    <row r="48" spans="1:19" ht="17.25" customHeight="1" thickBot="1">
      <c r="A48" s="126"/>
      <c r="B48" s="127"/>
      <c r="C48" s="74"/>
      <c r="D48" s="127"/>
      <c r="E48" s="74" t="str">
        <f t="shared" si="14"/>
        <v/>
      </c>
      <c r="F48" s="203" t="str">
        <f>IF(ISNUMBER(D48), $B64 * E48, "")</f>
        <v/>
      </c>
      <c r="G48" s="44"/>
      <c r="H48" s="74" t="str">
        <f t="shared" si="15"/>
        <v/>
      </c>
      <c r="I48" s="204" t="str">
        <f>IF(ISNUMBER(G48), $B64 * H48, "")</f>
        <v/>
      </c>
      <c r="J48" s="127"/>
      <c r="K48" s="74" t="str">
        <f t="shared" si="16"/>
        <v/>
      </c>
      <c r="L48" s="203" t="str">
        <f>IF(ISNUMBER(J48), $B64 * K48, "")</f>
        <v/>
      </c>
      <c r="M48" s="44"/>
      <c r="N48" s="74" t="str">
        <f t="shared" si="17"/>
        <v/>
      </c>
      <c r="O48" s="203" t="str">
        <f>IF(ISNUMBER(M48), $B64 * N48, "")</f>
        <v/>
      </c>
      <c r="Q48" s="275"/>
      <c r="R48" s="275"/>
      <c r="S48" s="275"/>
    </row>
    <row r="49" spans="1:19" ht="17.25" customHeight="1" thickBot="1">
      <c r="A49" s="124"/>
      <c r="B49" s="128"/>
      <c r="C49" s="76"/>
      <c r="D49" s="128"/>
      <c r="E49" s="76" t="str">
        <f>IF(ISNUMBER(D49), (D49 - $B49) / $B49, "")</f>
        <v/>
      </c>
      <c r="F49" s="205" t="str">
        <f>IF(ISNUMBER(D49), $B64 * E49, "")</f>
        <v/>
      </c>
      <c r="G49" s="45"/>
      <c r="H49" s="76" t="str">
        <f>IF(ISNUMBER(G49), (G49 - $B49) / $B49, "")</f>
        <v/>
      </c>
      <c r="I49" s="206" t="str">
        <f>IF(ISNUMBER(G49), $B64 * H49, "")</f>
        <v/>
      </c>
      <c r="J49" s="128"/>
      <c r="K49" s="76" t="str">
        <f>IF(ISNUMBER(J49), (J49 - $B49) / $B49, "")</f>
        <v/>
      </c>
      <c r="L49" s="205" t="str">
        <f>IF(ISNUMBER(J49), $B64 * K49, "")</f>
        <v/>
      </c>
      <c r="M49" s="45"/>
      <c r="N49" s="76" t="str">
        <f>IF(ISNUMBER(M49), (M49 - $B49) / $B49, "")</f>
        <v/>
      </c>
      <c r="O49" s="205" t="str">
        <f>IF(ISNUMBER(M49), $B64 * N49, "")</f>
        <v/>
      </c>
      <c r="Q49" s="275"/>
      <c r="R49" s="275"/>
      <c r="S49" s="275"/>
    </row>
    <row r="50" spans="1:19" ht="17.25" customHeight="1" thickBot="1">
      <c r="A50" s="124"/>
      <c r="B50" s="125"/>
      <c r="C50" s="73"/>
      <c r="D50" s="125"/>
      <c r="E50" s="73" t="str">
        <f t="shared" ref="E50:E53" si="18">IF(ISNUMBER(D50), (D50 - $B50) / $B50, "")</f>
        <v/>
      </c>
      <c r="F50" s="136" t="str">
        <f>IF(ISNUMBER(D50), $B64 * E50, "")</f>
        <v/>
      </c>
      <c r="G50" s="39"/>
      <c r="H50" s="73" t="str">
        <f t="shared" ref="H50:H53" si="19">IF(ISNUMBER(G50), (G50 - $B50) / $B50, "")</f>
        <v/>
      </c>
      <c r="I50" s="202" t="str">
        <f>IF(ISNUMBER(G50), $B64 * H50, "")</f>
        <v/>
      </c>
      <c r="J50" s="125"/>
      <c r="K50" s="73" t="str">
        <f t="shared" ref="K50:K53" si="20">IF(ISNUMBER(J50), (J50 - $B50) / $B50, "")</f>
        <v/>
      </c>
      <c r="L50" s="136" t="str">
        <f>IF(ISNUMBER(J50), $B64 * K50, "")</f>
        <v/>
      </c>
      <c r="M50" s="39"/>
      <c r="N50" s="73" t="str">
        <f t="shared" ref="N50:N53" si="21">IF(ISNUMBER(M50), (M50 - $B50) / $B50, "")</f>
        <v/>
      </c>
      <c r="O50" s="136" t="str">
        <f>IF(ISNUMBER(M50), $B64 * N50, "")</f>
        <v/>
      </c>
      <c r="Q50" s="275"/>
      <c r="R50" s="275"/>
      <c r="S50" s="275"/>
    </row>
    <row r="51" spans="1:19" ht="17.25" customHeight="1" thickBot="1">
      <c r="A51" s="124"/>
      <c r="B51" s="125"/>
      <c r="C51" s="73"/>
      <c r="D51" s="125"/>
      <c r="E51" s="73" t="str">
        <f t="shared" si="18"/>
        <v/>
      </c>
      <c r="F51" s="136" t="str">
        <f>IF(ISNUMBER(D51), $B64 * E51, "")</f>
        <v/>
      </c>
      <c r="G51" s="39"/>
      <c r="H51" s="73" t="str">
        <f t="shared" si="19"/>
        <v/>
      </c>
      <c r="I51" s="202" t="str">
        <f>IF(ISNUMBER(G51), $B64 * H51, "")</f>
        <v/>
      </c>
      <c r="J51" s="125"/>
      <c r="K51" s="73" t="str">
        <f t="shared" si="20"/>
        <v/>
      </c>
      <c r="L51" s="136" t="str">
        <f>IF(ISNUMBER(J51), $B64 * K51, "")</f>
        <v/>
      </c>
      <c r="M51" s="39"/>
      <c r="N51" s="73" t="str">
        <f t="shared" si="21"/>
        <v/>
      </c>
      <c r="O51" s="136" t="str">
        <f>IF(ISNUMBER(M51), $B64 * N51, "")</f>
        <v/>
      </c>
      <c r="Q51" s="275"/>
      <c r="R51" s="275"/>
      <c r="S51" s="275"/>
    </row>
    <row r="52" spans="1:19" ht="17.25" customHeight="1" thickBot="1">
      <c r="A52" s="124"/>
      <c r="B52" s="125"/>
      <c r="C52" s="73"/>
      <c r="D52" s="125"/>
      <c r="E52" s="73" t="str">
        <f t="shared" si="18"/>
        <v/>
      </c>
      <c r="F52" s="136" t="str">
        <f>IF(ISNUMBER(D52), $B64 * E52, "")</f>
        <v/>
      </c>
      <c r="G52" s="39"/>
      <c r="H52" s="73" t="str">
        <f t="shared" si="19"/>
        <v/>
      </c>
      <c r="I52" s="202" t="str">
        <f>IF(ISNUMBER(G52), $B64 * H52, "")</f>
        <v/>
      </c>
      <c r="J52" s="125"/>
      <c r="K52" s="73" t="str">
        <f t="shared" si="20"/>
        <v/>
      </c>
      <c r="L52" s="136" t="str">
        <f>IF(ISNUMBER(J52), $B64 * K52, "")</f>
        <v/>
      </c>
      <c r="M52" s="39"/>
      <c r="N52" s="73" t="str">
        <f t="shared" si="21"/>
        <v/>
      </c>
      <c r="O52" s="136" t="str">
        <f>IF(ISNUMBER(M52), $B64 * N52, "")</f>
        <v/>
      </c>
      <c r="Q52" s="33"/>
      <c r="R52" s="33"/>
    </row>
    <row r="53" spans="1:19" ht="17.25" customHeight="1" thickBot="1">
      <c r="A53" s="129"/>
      <c r="B53" s="130"/>
      <c r="C53" s="75"/>
      <c r="D53" s="130"/>
      <c r="E53" s="75" t="str">
        <f t="shared" si="18"/>
        <v/>
      </c>
      <c r="F53" s="137" t="str">
        <f>IF(ISNUMBER(D53), $B64 * E53, "")</f>
        <v/>
      </c>
      <c r="G53" s="37"/>
      <c r="H53" s="75" t="str">
        <f t="shared" si="19"/>
        <v/>
      </c>
      <c r="I53" s="207" t="str">
        <f>IF(ISNUMBER(G53), $B64 * H53, "")</f>
        <v/>
      </c>
      <c r="J53" s="130"/>
      <c r="K53" s="75" t="str">
        <f t="shared" si="20"/>
        <v/>
      </c>
      <c r="L53" s="137" t="str">
        <f>IF(ISNUMBER(J53), $B64 * K53, "")</f>
        <v/>
      </c>
      <c r="M53" s="37"/>
      <c r="N53" s="75" t="str">
        <f t="shared" si="21"/>
        <v/>
      </c>
      <c r="O53" s="137" t="str">
        <f>IF(ISNUMBER(M53), $B64 * N53, "")</f>
        <v/>
      </c>
      <c r="Q53" s="284"/>
      <c r="R53" s="285"/>
      <c r="S53" s="286"/>
    </row>
    <row r="54" spans="1:19" ht="17.25" customHeight="1">
      <c r="A54" s="122"/>
      <c r="B54" s="123"/>
      <c r="C54" s="72"/>
      <c r="D54" s="123"/>
      <c r="E54" s="72" t="str">
        <f>IF(ISNUMBER(D54), (D54 - $B54) / $B54, "")</f>
        <v/>
      </c>
      <c r="F54" s="140" t="str">
        <f>IF(ISNUMBER(D54), $B64 * E54, "")</f>
        <v/>
      </c>
      <c r="G54" s="38"/>
      <c r="H54" s="72" t="str">
        <f>IF(ISNUMBER(G54), (G54 - $B54) / $B54, "")</f>
        <v/>
      </c>
      <c r="I54" s="201" t="str">
        <f>IF(ISNUMBER(G54), $B64 * H54, "")</f>
        <v/>
      </c>
      <c r="J54" s="123"/>
      <c r="K54" s="72" t="str">
        <f>IF(ISNUMBER(J54), (J54 - $B54) / $B54, "")</f>
        <v/>
      </c>
      <c r="L54" s="140" t="str">
        <f>IF(ISNUMBER(J54), $B64 * K54, "")</f>
        <v/>
      </c>
      <c r="M54" s="38"/>
      <c r="N54" s="72" t="str">
        <f>IF(ISNUMBER(M54), (M54 - $B54) / $B54, "")</f>
        <v/>
      </c>
      <c r="O54" s="140" t="str">
        <f>IF(ISNUMBER(M54), $B64 * N54, "")</f>
        <v/>
      </c>
      <c r="Q54" s="287"/>
      <c r="R54" s="288"/>
      <c r="S54" s="289"/>
    </row>
    <row r="55" spans="1:19" ht="17.25" customHeight="1" thickBot="1">
      <c r="A55" s="124"/>
      <c r="B55" s="125"/>
      <c r="C55" s="73"/>
      <c r="D55" s="125"/>
      <c r="E55" s="73" t="str">
        <f t="shared" ref="E55:E58" si="22">IF(ISNUMBER(D55), (D55 - $B55) / $B55, "")</f>
        <v/>
      </c>
      <c r="F55" s="136" t="str">
        <f>IF(ISNUMBER(D55), $B64 * E55, "")</f>
        <v/>
      </c>
      <c r="G55" s="39"/>
      <c r="H55" s="73" t="str">
        <f t="shared" ref="H55:H58" si="23">IF(ISNUMBER(G55), (G55 - $B55) / $B55, "")</f>
        <v/>
      </c>
      <c r="I55" s="202" t="str">
        <f>IF(ISNUMBER(G55), $B64 * H55, "")</f>
        <v/>
      </c>
      <c r="J55" s="125"/>
      <c r="K55" s="73" t="str">
        <f t="shared" ref="K55:K58" si="24">IF(ISNUMBER(J55), (J55 - $B55) / $B55, "")</f>
        <v/>
      </c>
      <c r="L55" s="136" t="str">
        <f>IF(ISNUMBER(J55), $B64 * K55, "")</f>
        <v/>
      </c>
      <c r="M55" s="39"/>
      <c r="N55" s="73" t="str">
        <f t="shared" ref="N55:N58" si="25">IF(ISNUMBER(M55), (M55 - $B55) / $B55, "")</f>
        <v/>
      </c>
      <c r="O55" s="136" t="str">
        <f>IF(ISNUMBER(M55), $B64 * N55, "")</f>
        <v/>
      </c>
      <c r="Q55" s="290"/>
      <c r="R55" s="291"/>
      <c r="S55" s="292"/>
    </row>
    <row r="56" spans="1:19" ht="17.25" customHeight="1" thickBot="1">
      <c r="A56" s="124"/>
      <c r="B56" s="125"/>
      <c r="C56" s="73"/>
      <c r="D56" s="125"/>
      <c r="E56" s="73" t="str">
        <f t="shared" si="22"/>
        <v/>
      </c>
      <c r="F56" s="136" t="str">
        <f>IF(ISNUMBER(D56), $B64 * E56, "")</f>
        <v/>
      </c>
      <c r="G56" s="39"/>
      <c r="H56" s="73" t="str">
        <f t="shared" si="23"/>
        <v/>
      </c>
      <c r="I56" s="202" t="str">
        <f>IF(ISNUMBER(G56), $B64 * H56, "")</f>
        <v/>
      </c>
      <c r="J56" s="125"/>
      <c r="K56" s="73" t="str">
        <f t="shared" si="24"/>
        <v/>
      </c>
      <c r="L56" s="136" t="str">
        <f>IF(ISNUMBER(J56), $B64 * K56, "")</f>
        <v/>
      </c>
      <c r="M56" s="39"/>
      <c r="N56" s="73" t="str">
        <f t="shared" si="25"/>
        <v/>
      </c>
      <c r="O56" s="136" t="str">
        <f>IF(ISNUMBER(M56), $B64 * N56, "")</f>
        <v/>
      </c>
      <c r="Q56" s="275"/>
      <c r="R56" s="275"/>
      <c r="S56" s="275"/>
    </row>
    <row r="57" spans="1:19" ht="17.25" customHeight="1" thickBot="1">
      <c r="A57" s="124"/>
      <c r="B57" s="125"/>
      <c r="C57" s="73"/>
      <c r="D57" s="125"/>
      <c r="E57" s="73" t="str">
        <f t="shared" si="22"/>
        <v/>
      </c>
      <c r="F57" s="136" t="str">
        <f>IF(ISNUMBER(D57), $B64 * E57, "")</f>
        <v/>
      </c>
      <c r="G57" s="39"/>
      <c r="H57" s="73" t="str">
        <f t="shared" si="23"/>
        <v/>
      </c>
      <c r="I57" s="202" t="str">
        <f>IF(ISNUMBER(G57), $B64 * H57, "")</f>
        <v/>
      </c>
      <c r="J57" s="125"/>
      <c r="K57" s="73" t="str">
        <f t="shared" si="24"/>
        <v/>
      </c>
      <c r="L57" s="136" t="str">
        <f>IF(ISNUMBER(J57), $B64 * K57, "")</f>
        <v/>
      </c>
      <c r="M57" s="39"/>
      <c r="N57" s="73" t="str">
        <f t="shared" si="25"/>
        <v/>
      </c>
      <c r="O57" s="136" t="str">
        <f>IF(ISNUMBER(M57), $B64 * N57, "")</f>
        <v/>
      </c>
      <c r="Q57" s="270"/>
      <c r="R57" s="270"/>
      <c r="S57" s="270"/>
    </row>
    <row r="58" spans="1:19" ht="17.25" customHeight="1" thickBot="1">
      <c r="A58" s="126"/>
      <c r="B58" s="127"/>
      <c r="C58" s="74"/>
      <c r="D58" s="127"/>
      <c r="E58" s="74" t="str">
        <f t="shared" si="22"/>
        <v/>
      </c>
      <c r="F58" s="203" t="str">
        <f>IF(ISNUMBER(D58), $B64 * E58, "")</f>
        <v/>
      </c>
      <c r="G58" s="44"/>
      <c r="H58" s="74" t="str">
        <f t="shared" si="23"/>
        <v/>
      </c>
      <c r="I58" s="204" t="str">
        <f>IF(ISNUMBER(G58), $B64 * H58, "")</f>
        <v/>
      </c>
      <c r="J58" s="127"/>
      <c r="K58" s="74" t="str">
        <f t="shared" si="24"/>
        <v/>
      </c>
      <c r="L58" s="203" t="str">
        <f>IF(ISNUMBER(J58), $B64 * K58, "")</f>
        <v/>
      </c>
      <c r="M58" s="44"/>
      <c r="N58" s="74" t="str">
        <f t="shared" si="25"/>
        <v/>
      </c>
      <c r="O58" s="203" t="str">
        <f>IF(ISNUMBER(M58), $B64 * N58, "")</f>
        <v/>
      </c>
      <c r="Q58" s="270"/>
      <c r="R58" s="270"/>
      <c r="S58" s="270"/>
    </row>
    <row r="59" spans="1:19" ht="17.25" customHeight="1" thickBot="1">
      <c r="A59" s="124"/>
      <c r="B59" s="128"/>
      <c r="C59" s="76"/>
      <c r="D59" s="128"/>
      <c r="E59" s="76" t="str">
        <f>IF(ISNUMBER(D59), (D59 - $B59) / $B59, "")</f>
        <v/>
      </c>
      <c r="F59" s="205" t="str">
        <f>IF(ISNUMBER(D59), $B64 * E59, "")</f>
        <v/>
      </c>
      <c r="G59" s="45"/>
      <c r="H59" s="76" t="str">
        <f>IF(ISNUMBER(G59), (G59 - $B59) / $B59, "")</f>
        <v/>
      </c>
      <c r="I59" s="206" t="str">
        <f>IF(ISNUMBER(G59), $B64 * H59, "")</f>
        <v/>
      </c>
      <c r="J59" s="128"/>
      <c r="K59" s="76" t="str">
        <f>IF(ISNUMBER(J59), (J59 - $B59) / $B59, "")</f>
        <v/>
      </c>
      <c r="L59" s="205" t="str">
        <f>IF(ISNUMBER(J59), $B64 * K59, "")</f>
        <v/>
      </c>
      <c r="M59" s="45"/>
      <c r="N59" s="76" t="str">
        <f>IF(ISNUMBER(M59), (M59 - $B59) / $B59, "")</f>
        <v/>
      </c>
      <c r="O59" s="205" t="str">
        <f>IF(ISNUMBER(M59), $B64 * N59, "")</f>
        <v/>
      </c>
      <c r="Q59" s="275"/>
      <c r="R59" s="275"/>
      <c r="S59" s="275"/>
    </row>
    <row r="60" spans="1:19" ht="17.25" customHeight="1" thickBot="1">
      <c r="A60" s="124"/>
      <c r="B60" s="125"/>
      <c r="C60" s="73"/>
      <c r="D60" s="125"/>
      <c r="E60" s="73" t="str">
        <f t="shared" ref="E60:E63" si="26">IF(ISNUMBER(D60), (D60 - $B60) / $B60, "")</f>
        <v/>
      </c>
      <c r="F60" s="136" t="str">
        <f>IF(ISNUMBER(D60), $B64 * E60, "")</f>
        <v/>
      </c>
      <c r="G60" s="39"/>
      <c r="H60" s="73" t="str">
        <f t="shared" ref="H60:H63" si="27">IF(ISNUMBER(G60), (G60 - $B60) / $B60, "")</f>
        <v/>
      </c>
      <c r="I60" s="202" t="str">
        <f>IF(ISNUMBER(G60), $B64 * H60, "")</f>
        <v/>
      </c>
      <c r="J60" s="125"/>
      <c r="K60" s="73" t="str">
        <f t="shared" ref="K60:K63" si="28">IF(ISNUMBER(J60), (J60 - $B60) / $B60, "")</f>
        <v/>
      </c>
      <c r="L60" s="136" t="str">
        <f>IF(ISNUMBER(J60), $B64 * K60, "")</f>
        <v/>
      </c>
      <c r="M60" s="39"/>
      <c r="N60" s="73" t="str">
        <f t="shared" ref="N60:N63" si="29">IF(ISNUMBER(M60), (M60 - $B60) / $B60, "")</f>
        <v/>
      </c>
      <c r="O60" s="136" t="str">
        <f>IF(ISNUMBER(M60), $B64 * N60, "")</f>
        <v/>
      </c>
      <c r="Q60" s="275"/>
      <c r="R60" s="275"/>
      <c r="S60" s="275"/>
    </row>
    <row r="61" spans="1:19" ht="17.25" customHeight="1" thickBot="1">
      <c r="A61" s="124"/>
      <c r="B61" s="125"/>
      <c r="C61" s="73"/>
      <c r="D61" s="125"/>
      <c r="E61" s="73" t="str">
        <f t="shared" si="26"/>
        <v/>
      </c>
      <c r="F61" s="136" t="str">
        <f>IF(ISNUMBER(D61), $B64 * E61, "")</f>
        <v/>
      </c>
      <c r="G61" s="39"/>
      <c r="H61" s="73" t="str">
        <f t="shared" si="27"/>
        <v/>
      </c>
      <c r="I61" s="202" t="str">
        <f>IF(ISNUMBER(G61), $B64 * H61, "")</f>
        <v/>
      </c>
      <c r="J61" s="125"/>
      <c r="K61" s="73" t="str">
        <f t="shared" si="28"/>
        <v/>
      </c>
      <c r="L61" s="136" t="str">
        <f>IF(ISNUMBER(J61), $B64 * K61, "")</f>
        <v/>
      </c>
      <c r="M61" s="39"/>
      <c r="N61" s="73" t="str">
        <f t="shared" si="29"/>
        <v/>
      </c>
      <c r="O61" s="136" t="str">
        <f>IF(ISNUMBER(M61), $B64 * N61, "")</f>
        <v/>
      </c>
      <c r="Q61" s="275"/>
      <c r="R61" s="275"/>
      <c r="S61" s="275"/>
    </row>
    <row r="62" spans="1:19" ht="17.25" customHeight="1">
      <c r="A62" s="124"/>
      <c r="B62" s="125"/>
      <c r="C62" s="73"/>
      <c r="D62" s="125"/>
      <c r="E62" s="73" t="str">
        <f t="shared" si="26"/>
        <v/>
      </c>
      <c r="F62" s="136" t="str">
        <f>IF(ISNUMBER(D62), $B64 * E62, "")</f>
        <v/>
      </c>
      <c r="G62" s="39"/>
      <c r="H62" s="73" t="str">
        <f t="shared" si="27"/>
        <v/>
      </c>
      <c r="I62" s="202" t="str">
        <f>IF(ISNUMBER(G62), $B64 * H62, "")</f>
        <v/>
      </c>
      <c r="J62" s="125"/>
      <c r="K62" s="73" t="str">
        <f t="shared" si="28"/>
        <v/>
      </c>
      <c r="L62" s="136" t="str">
        <f>IF(ISNUMBER(J62), $B64 * K62, "")</f>
        <v/>
      </c>
      <c r="M62" s="39"/>
      <c r="N62" s="73" t="str">
        <f t="shared" si="29"/>
        <v/>
      </c>
      <c r="O62" s="136" t="str">
        <f>IF(ISNUMBER(M62), $B64 * N62, "")</f>
        <v/>
      </c>
      <c r="Q62" s="297"/>
      <c r="R62" s="298"/>
      <c r="S62" s="299"/>
    </row>
    <row r="63" spans="1:19" ht="17.25" customHeight="1" thickBot="1">
      <c r="A63" s="129"/>
      <c r="B63" s="130"/>
      <c r="C63" s="75"/>
      <c r="D63" s="130"/>
      <c r="E63" s="75" t="str">
        <f t="shared" si="26"/>
        <v/>
      </c>
      <c r="F63" s="137" t="str">
        <f>IF(ISNUMBER(D63), $B64 * E63, "")</f>
        <v/>
      </c>
      <c r="G63" s="37"/>
      <c r="H63" s="75" t="str">
        <f t="shared" si="27"/>
        <v/>
      </c>
      <c r="I63" s="207" t="str">
        <f>IF(ISNUMBER(G63), $B64 * H63, "")</f>
        <v/>
      </c>
      <c r="J63" s="130"/>
      <c r="K63" s="75" t="str">
        <f t="shared" si="28"/>
        <v/>
      </c>
      <c r="L63" s="137" t="str">
        <f>IF(ISNUMBER(J63), $B64 * K63, "")</f>
        <v/>
      </c>
      <c r="M63" s="37"/>
      <c r="N63" s="75" t="str">
        <f t="shared" si="29"/>
        <v/>
      </c>
      <c r="O63" s="137" t="str">
        <f>IF(ISNUMBER(M63), $B64 * N63, "")</f>
        <v/>
      </c>
      <c r="Q63" s="300"/>
      <c r="R63" s="301"/>
      <c r="S63" s="302"/>
    </row>
    <row r="64" spans="1:19" ht="17.25" customHeight="1" thickBot="1">
      <c r="A64" s="131" t="s">
        <v>301</v>
      </c>
      <c r="B64" s="308">
        <f>$B$37</f>
        <v>150000</v>
      </c>
      <c r="C64" s="309"/>
      <c r="D64" s="131" t="s">
        <v>302</v>
      </c>
      <c r="E64" s="195">
        <f>IF(COUNT(E44:E63), SUM(E44:E63) / COUNT(E44:E63), 0)</f>
        <v>0</v>
      </c>
      <c r="F64" s="208">
        <f>SUM(F44:F63)</f>
        <v>0</v>
      </c>
      <c r="G64" s="131" t="s">
        <v>302</v>
      </c>
      <c r="H64" s="195">
        <f>IF(COUNT(H44:H63), SUM(H44:H63) / COUNT(H44:H63), 0)</f>
        <v>0</v>
      </c>
      <c r="I64" s="208">
        <f>SUM(I44:I63)</f>
        <v>0</v>
      </c>
      <c r="J64" s="131" t="s">
        <v>302</v>
      </c>
      <c r="K64" s="195">
        <f>IF(COUNT(K44:K63), SUM(K44:K63) / COUNT(K44:K63), 0)</f>
        <v>0</v>
      </c>
      <c r="L64" s="208">
        <f>SUM(L44:L63)</f>
        <v>0</v>
      </c>
      <c r="M64" s="131" t="s">
        <v>302</v>
      </c>
      <c r="N64" s="195">
        <f>IF(COUNT(N44:N63), SUM(N44:N63) / COUNT(N44:N63), 0)</f>
        <v>0</v>
      </c>
      <c r="O64" s="208">
        <f>SUM(O44:O63)</f>
        <v>0</v>
      </c>
      <c r="Q64" s="303"/>
      <c r="R64" s="304"/>
      <c r="S64" s="305"/>
    </row>
    <row r="65" spans="1:19" ht="17.25" customHeight="1"/>
    <row r="66" spans="1:19" ht="17.25" customHeight="1" thickBot="1"/>
    <row r="67" spans="1:19" ht="17.25" thickBot="1">
      <c r="A67" s="249" t="s">
        <v>45</v>
      </c>
      <c r="B67" s="250"/>
      <c r="C67" s="250"/>
      <c r="D67" s="250"/>
      <c r="E67" s="250"/>
      <c r="F67" s="250"/>
      <c r="G67" s="250"/>
      <c r="H67" s="250"/>
      <c r="I67" s="250"/>
      <c r="J67" s="250"/>
      <c r="K67" s="250"/>
      <c r="L67" s="250"/>
      <c r="M67" s="250"/>
      <c r="N67" s="250"/>
      <c r="O67" s="251"/>
      <c r="Q67" s="270"/>
      <c r="R67" s="270"/>
      <c r="S67" s="270"/>
    </row>
    <row r="68" spans="1:19" ht="17.25" thickBot="1">
      <c r="A68" s="186" t="s">
        <v>298</v>
      </c>
      <c r="B68" s="249" t="s">
        <v>49</v>
      </c>
      <c r="C68" s="251"/>
      <c r="D68" s="249" t="s">
        <v>58</v>
      </c>
      <c r="E68" s="250"/>
      <c r="F68" s="251"/>
      <c r="G68" s="276">
        <f>_xlfn.IFNA(VLOOKUP(B68, 현재가테이블!$B$2:$D$200, 2, FALSE), "-")</f>
        <v>60874000</v>
      </c>
      <c r="H68" s="277"/>
      <c r="I68" s="278"/>
      <c r="J68" s="249" t="s">
        <v>59</v>
      </c>
      <c r="K68" s="250"/>
      <c r="L68" s="251"/>
      <c r="M68" s="279">
        <f>_xlfn.IFNA(VLOOKUP(B68, 현재가테이블!$B$2:$D$200, 3, FALSE), "-")</f>
        <v>-1.4936000099999999E-2</v>
      </c>
      <c r="N68" s="280"/>
      <c r="O68" s="281"/>
      <c r="Q68" s="270"/>
      <c r="R68" s="270"/>
      <c r="S68" s="270"/>
    </row>
    <row r="69" spans="1:19" ht="17.25" thickBot="1">
      <c r="A69" s="310" t="s">
        <v>55</v>
      </c>
      <c r="B69" s="312" t="str">
        <f>TEXT($G$1, "[$-ko-KR]yyyy-mm-dd(ddd) ") &amp; "오전 00:00"</f>
        <v>2021-05-01(토) 오전 00:00</v>
      </c>
      <c r="C69" s="313"/>
      <c r="D69" s="249" t="str">
        <f>TEXT($G$1, "[$-ko-KR]yyyy-mm-dd(ddd) ") &amp; "오후 14:00"</f>
        <v>2021-05-01(토) 오후 14:00</v>
      </c>
      <c r="E69" s="250"/>
      <c r="F69" s="251"/>
      <c r="G69" s="249" t="str">
        <f>TEXT($G$1, "[$-ko-KR]yyyy-mm-dd(ddd) ") &amp; "오후 19:00"</f>
        <v>2021-05-01(토) 오후 19:00</v>
      </c>
      <c r="H69" s="250"/>
      <c r="I69" s="251"/>
      <c r="J69" s="249" t="str">
        <f>TEXT($G$1, "[$-ko-KR]yyyy-mm-dd(ddd) ") &amp; "오후 21:00"</f>
        <v>2021-05-01(토) 오후 21:00</v>
      </c>
      <c r="K69" s="250"/>
      <c r="L69" s="251"/>
      <c r="M69" s="249" t="str">
        <f>TEXT($G$1+1, "[$-ko-KR]yyyy-mm-dd(ddd) ") &amp; "오전 00:00"</f>
        <v>2021-05-02(일) 오전 00:00</v>
      </c>
      <c r="N69" s="250"/>
      <c r="O69" s="251"/>
      <c r="Q69" s="270"/>
      <c r="R69" s="270"/>
      <c r="S69" s="270"/>
    </row>
    <row r="70" spans="1:19" ht="17.25" thickBot="1">
      <c r="A70" s="311"/>
      <c r="B70" s="120" t="s">
        <v>58</v>
      </c>
      <c r="C70" s="121" t="s">
        <v>59</v>
      </c>
      <c r="D70" s="120" t="s">
        <v>58</v>
      </c>
      <c r="E70" s="121" t="s">
        <v>299</v>
      </c>
      <c r="F70" s="196" t="s">
        <v>300</v>
      </c>
      <c r="G70" s="186" t="s">
        <v>58</v>
      </c>
      <c r="H70" s="187" t="s">
        <v>299</v>
      </c>
      <c r="I70" s="188" t="s">
        <v>300</v>
      </c>
      <c r="J70" s="121" t="s">
        <v>58</v>
      </c>
      <c r="K70" s="121" t="s">
        <v>299</v>
      </c>
      <c r="L70" s="190" t="s">
        <v>300</v>
      </c>
      <c r="M70" s="120" t="s">
        <v>58</v>
      </c>
      <c r="N70" s="121" t="s">
        <v>299</v>
      </c>
      <c r="O70" s="191" t="s">
        <v>300</v>
      </c>
      <c r="Q70" s="275"/>
      <c r="R70" s="275"/>
      <c r="S70" s="275"/>
    </row>
    <row r="71" spans="1:19" ht="17.25" thickBot="1">
      <c r="A71" s="122"/>
      <c r="B71" s="123"/>
      <c r="C71" s="72"/>
      <c r="D71" s="123"/>
      <c r="E71" s="72" t="str">
        <f>IF(ISNUMBER(D71), (D71 - $B71) / $B71, "")</f>
        <v/>
      </c>
      <c r="F71" s="140" t="str">
        <f>IF(ISNUMBER(D71), $B91 * E71, "")</f>
        <v/>
      </c>
      <c r="G71" s="38"/>
      <c r="H71" s="72" t="str">
        <f>IF(ISNUMBER(G71), (G71 - $B71) / $B71, "")</f>
        <v/>
      </c>
      <c r="I71" s="201" t="str">
        <f>IF(ISNUMBER(G71), $B91 * H71, "")</f>
        <v/>
      </c>
      <c r="J71" s="123"/>
      <c r="K71" s="72" t="str">
        <f>IF(ISNUMBER(J71), (J71 - $B71) / $B71, "")</f>
        <v/>
      </c>
      <c r="L71" s="140" t="str">
        <f>IF(ISNUMBER(J71), $B91 * K71, "")</f>
        <v/>
      </c>
      <c r="M71" s="38"/>
      <c r="N71" s="72" t="str">
        <f>IF(ISNUMBER(M71), (M71 - $B71) / $B71, "")</f>
        <v/>
      </c>
      <c r="O71" s="140" t="str">
        <f>IF(ISNUMBER(M71), $B91 * N71, "")</f>
        <v/>
      </c>
      <c r="Q71" s="270"/>
      <c r="R71" s="270"/>
      <c r="S71" s="270"/>
    </row>
    <row r="72" spans="1:19" ht="17.25" thickBot="1">
      <c r="A72" s="124"/>
      <c r="B72" s="125"/>
      <c r="C72" s="73"/>
      <c r="D72" s="125"/>
      <c r="E72" s="73" t="str">
        <f t="shared" ref="E72:E75" si="30">IF(ISNUMBER(D72), (D72 - $B72) / $B72, "")</f>
        <v/>
      </c>
      <c r="F72" s="136" t="str">
        <f>IF(ISNUMBER(D72), $B91 * E72, "")</f>
        <v/>
      </c>
      <c r="G72" s="39"/>
      <c r="H72" s="73" t="str">
        <f t="shared" ref="H72:H75" si="31">IF(ISNUMBER(G72), (G72 - $B72) / $B72, "")</f>
        <v/>
      </c>
      <c r="I72" s="202" t="str">
        <f>IF(ISNUMBER(G72), $B91 * H72, "")</f>
        <v/>
      </c>
      <c r="J72" s="125"/>
      <c r="K72" s="73" t="str">
        <f t="shared" ref="K72:K75" si="32">IF(ISNUMBER(J72), (J72 - $B72) / $B72, "")</f>
        <v/>
      </c>
      <c r="L72" s="136" t="str">
        <f>IF(ISNUMBER(J72), $B91 * K72, "")</f>
        <v/>
      </c>
      <c r="M72" s="39"/>
      <c r="N72" s="73" t="str">
        <f t="shared" ref="N72:N75" si="33">IF(ISNUMBER(M72), (M72 - $B72) / $B72, "")</f>
        <v/>
      </c>
      <c r="O72" s="136" t="str">
        <f>IF(ISNUMBER(M72), $B91 * N72, "")</f>
        <v/>
      </c>
      <c r="Q72" s="270"/>
      <c r="R72" s="270"/>
      <c r="S72" s="270"/>
    </row>
    <row r="73" spans="1:19" ht="17.25" thickBot="1">
      <c r="A73" s="124"/>
      <c r="B73" s="125"/>
      <c r="C73" s="73"/>
      <c r="D73" s="125"/>
      <c r="E73" s="73" t="str">
        <f t="shared" si="30"/>
        <v/>
      </c>
      <c r="F73" s="136" t="str">
        <f>IF(ISNUMBER(D73), $B91 * E73, "")</f>
        <v/>
      </c>
      <c r="G73" s="39"/>
      <c r="H73" s="73" t="str">
        <f t="shared" si="31"/>
        <v/>
      </c>
      <c r="I73" s="202" t="str">
        <f>IF(ISNUMBER(G73), $B91 * H73, "")</f>
        <v/>
      </c>
      <c r="J73" s="125"/>
      <c r="K73" s="73" t="str">
        <f t="shared" si="32"/>
        <v/>
      </c>
      <c r="L73" s="136" t="str">
        <f>IF(ISNUMBER(J73), $B91 * K73, "")</f>
        <v/>
      </c>
      <c r="M73" s="39"/>
      <c r="N73" s="73" t="str">
        <f t="shared" si="33"/>
        <v/>
      </c>
      <c r="O73" s="136" t="str">
        <f>IF(ISNUMBER(M73), $B91 * N73, "")</f>
        <v/>
      </c>
      <c r="Q73" s="275"/>
      <c r="R73" s="275"/>
      <c r="S73" s="275"/>
    </row>
    <row r="74" spans="1:19" ht="17.25" thickBot="1">
      <c r="A74" s="124"/>
      <c r="B74" s="125"/>
      <c r="C74" s="73"/>
      <c r="D74" s="125"/>
      <c r="E74" s="73" t="str">
        <f t="shared" si="30"/>
        <v/>
      </c>
      <c r="F74" s="136" t="str">
        <f>IF(ISNUMBER(D74), $B91 * E74, "")</f>
        <v/>
      </c>
      <c r="G74" s="39"/>
      <c r="H74" s="73" t="str">
        <f t="shared" si="31"/>
        <v/>
      </c>
      <c r="I74" s="202" t="str">
        <f>IF(ISNUMBER(G74), $B91 * H74, "")</f>
        <v/>
      </c>
      <c r="J74" s="125"/>
      <c r="K74" s="73" t="str">
        <f t="shared" si="32"/>
        <v/>
      </c>
      <c r="L74" s="136" t="str">
        <f>IF(ISNUMBER(J74), $B91 * K74, "")</f>
        <v/>
      </c>
      <c r="M74" s="39"/>
      <c r="N74" s="73" t="str">
        <f t="shared" si="33"/>
        <v/>
      </c>
      <c r="O74" s="136" t="str">
        <f>IF(ISNUMBER(M74), $B91 * N74, "")</f>
        <v/>
      </c>
      <c r="Q74" s="275"/>
      <c r="R74" s="275"/>
      <c r="S74" s="275"/>
    </row>
    <row r="75" spans="1:19" ht="17.25" thickBot="1">
      <c r="A75" s="126"/>
      <c r="B75" s="127"/>
      <c r="C75" s="74"/>
      <c r="D75" s="127"/>
      <c r="E75" s="74" t="str">
        <f t="shared" si="30"/>
        <v/>
      </c>
      <c r="F75" s="203" t="str">
        <f>IF(ISNUMBER(D75), $B91 * E75, "")</f>
        <v/>
      </c>
      <c r="G75" s="44"/>
      <c r="H75" s="74" t="str">
        <f t="shared" si="31"/>
        <v/>
      </c>
      <c r="I75" s="204" t="str">
        <f>IF(ISNUMBER(G75), $B91 * H75, "")</f>
        <v/>
      </c>
      <c r="J75" s="127"/>
      <c r="K75" s="74" t="str">
        <f t="shared" si="32"/>
        <v/>
      </c>
      <c r="L75" s="203" t="str">
        <f>IF(ISNUMBER(J75), $B91 * K75, "")</f>
        <v/>
      </c>
      <c r="M75" s="44"/>
      <c r="N75" s="74" t="str">
        <f t="shared" si="33"/>
        <v/>
      </c>
      <c r="O75" s="203" t="str">
        <f>IF(ISNUMBER(M75), $B91 * N75, "")</f>
        <v/>
      </c>
      <c r="Q75" s="275"/>
      <c r="R75" s="275"/>
      <c r="S75" s="275"/>
    </row>
    <row r="76" spans="1:19" ht="17.25" thickBot="1">
      <c r="A76" s="124"/>
      <c r="B76" s="128"/>
      <c r="C76" s="76"/>
      <c r="D76" s="128"/>
      <c r="E76" s="76" t="str">
        <f>IF(ISNUMBER(D76), (D76 - $B76) / $B76, "")</f>
        <v/>
      </c>
      <c r="F76" s="205" t="str">
        <f>IF(ISNUMBER(D76), $B91 * E76, "")</f>
        <v/>
      </c>
      <c r="G76" s="45"/>
      <c r="H76" s="76" t="str">
        <f>IF(ISNUMBER(G76), (G76 - $B76) / $B76, "")</f>
        <v/>
      </c>
      <c r="I76" s="206" t="str">
        <f>IF(ISNUMBER(G76), $B91 * H76, "")</f>
        <v/>
      </c>
      <c r="J76" s="128"/>
      <c r="K76" s="76" t="str">
        <f>IF(ISNUMBER(J76), (J76 - $B76) / $B76, "")</f>
        <v/>
      </c>
      <c r="L76" s="205" t="str">
        <f>IF(ISNUMBER(J76), $B91 * K76, "")</f>
        <v/>
      </c>
      <c r="M76" s="45"/>
      <c r="N76" s="76" t="str">
        <f>IF(ISNUMBER(M76), (M76 - $B76) / $B76, "")</f>
        <v/>
      </c>
      <c r="O76" s="205" t="str">
        <f>IF(ISNUMBER(M76), $B91 * N76, "")</f>
        <v/>
      </c>
      <c r="Q76" s="275"/>
      <c r="R76" s="275"/>
      <c r="S76" s="275"/>
    </row>
    <row r="77" spans="1:19" ht="17.25" thickBot="1">
      <c r="A77" s="124"/>
      <c r="B77" s="125"/>
      <c r="C77" s="73"/>
      <c r="D77" s="125"/>
      <c r="E77" s="73" t="str">
        <f t="shared" ref="E77:E80" si="34">IF(ISNUMBER(D77), (D77 - $B77) / $B77, "")</f>
        <v/>
      </c>
      <c r="F77" s="136" t="str">
        <f>IF(ISNUMBER(D77), $B91 * E77, "")</f>
        <v/>
      </c>
      <c r="G77" s="39"/>
      <c r="H77" s="73" t="str">
        <f t="shared" ref="H77:H80" si="35">IF(ISNUMBER(G77), (G77 - $B77) / $B77, "")</f>
        <v/>
      </c>
      <c r="I77" s="202" t="str">
        <f>IF(ISNUMBER(G77), $B91 * H77, "")</f>
        <v/>
      </c>
      <c r="J77" s="125"/>
      <c r="K77" s="73" t="str">
        <f t="shared" ref="K77:K80" si="36">IF(ISNUMBER(J77), (J77 - $B77) / $B77, "")</f>
        <v/>
      </c>
      <c r="L77" s="136" t="str">
        <f>IF(ISNUMBER(J77), $B91 * K77, "")</f>
        <v/>
      </c>
      <c r="M77" s="39"/>
      <c r="N77" s="73" t="str">
        <f t="shared" ref="N77:N80" si="37">IF(ISNUMBER(M77), (M77 - $B77) / $B77, "")</f>
        <v/>
      </c>
      <c r="O77" s="136" t="str">
        <f>IF(ISNUMBER(M77), $B91 * N77, "")</f>
        <v/>
      </c>
      <c r="Q77" s="275"/>
      <c r="R77" s="275"/>
      <c r="S77" s="275"/>
    </row>
    <row r="78" spans="1:19" ht="17.25" thickBot="1">
      <c r="A78" s="124"/>
      <c r="B78" s="125"/>
      <c r="C78" s="73"/>
      <c r="D78" s="125"/>
      <c r="E78" s="73" t="str">
        <f t="shared" si="34"/>
        <v/>
      </c>
      <c r="F78" s="136" t="str">
        <f>IF(ISNUMBER(D78), $B91 * E78, "")</f>
        <v/>
      </c>
      <c r="G78" s="39"/>
      <c r="H78" s="73" t="str">
        <f t="shared" si="35"/>
        <v/>
      </c>
      <c r="I78" s="202" t="str">
        <f>IF(ISNUMBER(G78), $B91 * H78, "")</f>
        <v/>
      </c>
      <c r="J78" s="125"/>
      <c r="K78" s="73" t="str">
        <f t="shared" si="36"/>
        <v/>
      </c>
      <c r="L78" s="136" t="str">
        <f>IF(ISNUMBER(J78), $B91 * K78, "")</f>
        <v/>
      </c>
      <c r="M78" s="39"/>
      <c r="N78" s="73" t="str">
        <f t="shared" si="37"/>
        <v/>
      </c>
      <c r="O78" s="136" t="str">
        <f>IF(ISNUMBER(M78), $B91 * N78, "")</f>
        <v/>
      </c>
      <c r="Q78" s="275"/>
      <c r="R78" s="275"/>
      <c r="S78" s="275"/>
    </row>
    <row r="79" spans="1:19" ht="17.25" thickBot="1">
      <c r="A79" s="124"/>
      <c r="B79" s="125"/>
      <c r="C79" s="73"/>
      <c r="D79" s="125"/>
      <c r="E79" s="73" t="str">
        <f t="shared" si="34"/>
        <v/>
      </c>
      <c r="F79" s="136" t="str">
        <f>IF(ISNUMBER(D79), $B91 * E79, "")</f>
        <v/>
      </c>
      <c r="G79" s="39"/>
      <c r="H79" s="73" t="str">
        <f t="shared" si="35"/>
        <v/>
      </c>
      <c r="I79" s="202" t="str">
        <f>IF(ISNUMBER(G79), $B91 * H79, "")</f>
        <v/>
      </c>
      <c r="J79" s="125"/>
      <c r="K79" s="73" t="str">
        <f t="shared" si="36"/>
        <v/>
      </c>
      <c r="L79" s="136" t="str">
        <f>IF(ISNUMBER(J79), $B91 * K79, "")</f>
        <v/>
      </c>
      <c r="M79" s="39"/>
      <c r="N79" s="73" t="str">
        <f t="shared" si="37"/>
        <v/>
      </c>
      <c r="O79" s="136" t="str">
        <f>IF(ISNUMBER(M79), $B91 * N79, "")</f>
        <v/>
      </c>
      <c r="Q79" s="33"/>
      <c r="R79" s="33"/>
    </row>
    <row r="80" spans="1:19" ht="17.25" thickBot="1">
      <c r="A80" s="129"/>
      <c r="B80" s="130"/>
      <c r="C80" s="75"/>
      <c r="D80" s="130"/>
      <c r="E80" s="75" t="str">
        <f t="shared" si="34"/>
        <v/>
      </c>
      <c r="F80" s="137" t="str">
        <f>IF(ISNUMBER(D80), $B91 * E80, "")</f>
        <v/>
      </c>
      <c r="G80" s="37"/>
      <c r="H80" s="75" t="str">
        <f t="shared" si="35"/>
        <v/>
      </c>
      <c r="I80" s="207" t="str">
        <f>IF(ISNUMBER(G80), $B91 * H80, "")</f>
        <v/>
      </c>
      <c r="J80" s="130"/>
      <c r="K80" s="75" t="str">
        <f t="shared" si="36"/>
        <v/>
      </c>
      <c r="L80" s="137" t="str">
        <f>IF(ISNUMBER(J80), $B91 * K80, "")</f>
        <v/>
      </c>
      <c r="M80" s="37"/>
      <c r="N80" s="75" t="str">
        <f t="shared" si="37"/>
        <v/>
      </c>
      <c r="O80" s="137" t="str">
        <f>IF(ISNUMBER(M80), $B91 * N80, "")</f>
        <v/>
      </c>
      <c r="Q80" s="284"/>
      <c r="R80" s="285"/>
      <c r="S80" s="286"/>
    </row>
    <row r="81" spans="1:19">
      <c r="A81" s="122"/>
      <c r="B81" s="123"/>
      <c r="C81" s="72"/>
      <c r="D81" s="123"/>
      <c r="E81" s="72" t="str">
        <f>IF(ISNUMBER(D81), (D81 - $B81) / $B81, "")</f>
        <v/>
      </c>
      <c r="F81" s="140" t="str">
        <f>IF(ISNUMBER(D81), $B91 * E81, "")</f>
        <v/>
      </c>
      <c r="G81" s="38"/>
      <c r="H81" s="72" t="str">
        <f>IF(ISNUMBER(G81), (G81 - $B81) / $B81, "")</f>
        <v/>
      </c>
      <c r="I81" s="201" t="str">
        <f>IF(ISNUMBER(G81), $B91 * H81, "")</f>
        <v/>
      </c>
      <c r="J81" s="123"/>
      <c r="K81" s="72" t="str">
        <f>IF(ISNUMBER(J81), (J81 - $B81) / $B81, "")</f>
        <v/>
      </c>
      <c r="L81" s="140" t="str">
        <f>IF(ISNUMBER(J81), $B91 * K81, "")</f>
        <v/>
      </c>
      <c r="M81" s="38"/>
      <c r="N81" s="72" t="str">
        <f>IF(ISNUMBER(M81), (M81 - $B81) / $B81, "")</f>
        <v/>
      </c>
      <c r="O81" s="140" t="str">
        <f>IF(ISNUMBER(M81), $B91 * N81, "")</f>
        <v/>
      </c>
      <c r="Q81" s="287"/>
      <c r="R81" s="288"/>
      <c r="S81" s="289"/>
    </row>
    <row r="82" spans="1:19" ht="17.25" thickBot="1">
      <c r="A82" s="124"/>
      <c r="B82" s="125"/>
      <c r="C82" s="73"/>
      <c r="D82" s="125"/>
      <c r="E82" s="73" t="str">
        <f t="shared" ref="E82:E85" si="38">IF(ISNUMBER(D82), (D82 - $B82) / $B82, "")</f>
        <v/>
      </c>
      <c r="F82" s="136" t="str">
        <f>IF(ISNUMBER(D82), $B91 * E82, "")</f>
        <v/>
      </c>
      <c r="G82" s="39"/>
      <c r="H82" s="73" t="str">
        <f t="shared" ref="H82:H85" si="39">IF(ISNUMBER(G82), (G82 - $B82) / $B82, "")</f>
        <v/>
      </c>
      <c r="I82" s="202" t="str">
        <f>IF(ISNUMBER(G82), $B91 * H82, "")</f>
        <v/>
      </c>
      <c r="J82" s="125"/>
      <c r="K82" s="73" t="str">
        <f t="shared" ref="K82:K85" si="40">IF(ISNUMBER(J82), (J82 - $B82) / $B82, "")</f>
        <v/>
      </c>
      <c r="L82" s="136" t="str">
        <f>IF(ISNUMBER(J82), $B91 * K82, "")</f>
        <v/>
      </c>
      <c r="M82" s="39"/>
      <c r="N82" s="73" t="str">
        <f t="shared" ref="N82:N85" si="41">IF(ISNUMBER(M82), (M82 - $B82) / $B82, "")</f>
        <v/>
      </c>
      <c r="O82" s="136" t="str">
        <f>IF(ISNUMBER(M82), $B91 * N82, "")</f>
        <v/>
      </c>
      <c r="Q82" s="290"/>
      <c r="R82" s="291"/>
      <c r="S82" s="292"/>
    </row>
    <row r="83" spans="1:19" ht="17.25" thickBot="1">
      <c r="A83" s="124"/>
      <c r="B83" s="125"/>
      <c r="C83" s="73"/>
      <c r="D83" s="125"/>
      <c r="E83" s="73" t="str">
        <f t="shared" si="38"/>
        <v/>
      </c>
      <c r="F83" s="136" t="str">
        <f>IF(ISNUMBER(D83), $B91 * E83, "")</f>
        <v/>
      </c>
      <c r="G83" s="39"/>
      <c r="H83" s="73" t="str">
        <f t="shared" si="39"/>
        <v/>
      </c>
      <c r="I83" s="202" t="str">
        <f>IF(ISNUMBER(G83), $B91 * H83, "")</f>
        <v/>
      </c>
      <c r="J83" s="125"/>
      <c r="K83" s="73" t="str">
        <f t="shared" si="40"/>
        <v/>
      </c>
      <c r="L83" s="136" t="str">
        <f>IF(ISNUMBER(J83), $B91 * K83, "")</f>
        <v/>
      </c>
      <c r="M83" s="39"/>
      <c r="N83" s="73" t="str">
        <f t="shared" si="41"/>
        <v/>
      </c>
      <c r="O83" s="136" t="str">
        <f>IF(ISNUMBER(M83), $B91 * N83, "")</f>
        <v/>
      </c>
      <c r="Q83" s="275"/>
      <c r="R83" s="275"/>
      <c r="S83" s="275"/>
    </row>
    <row r="84" spans="1:19" ht="17.25" thickBot="1">
      <c r="A84" s="124"/>
      <c r="B84" s="125"/>
      <c r="C84" s="73"/>
      <c r="D84" s="125"/>
      <c r="E84" s="73" t="str">
        <f t="shared" si="38"/>
        <v/>
      </c>
      <c r="F84" s="136" t="str">
        <f>IF(ISNUMBER(D84), $B91 * E84, "")</f>
        <v/>
      </c>
      <c r="G84" s="39"/>
      <c r="H84" s="73" t="str">
        <f t="shared" si="39"/>
        <v/>
      </c>
      <c r="I84" s="202" t="str">
        <f>IF(ISNUMBER(G84), $B91 * H84, "")</f>
        <v/>
      </c>
      <c r="J84" s="125"/>
      <c r="K84" s="73" t="str">
        <f t="shared" si="40"/>
        <v/>
      </c>
      <c r="L84" s="136" t="str">
        <f>IF(ISNUMBER(J84), $B91 * K84, "")</f>
        <v/>
      </c>
      <c r="M84" s="39"/>
      <c r="N84" s="73" t="str">
        <f t="shared" si="41"/>
        <v/>
      </c>
      <c r="O84" s="136" t="str">
        <f>IF(ISNUMBER(M84), $B91 * N84, "")</f>
        <v/>
      </c>
      <c r="Q84" s="270"/>
      <c r="R84" s="270"/>
      <c r="S84" s="270"/>
    </row>
    <row r="85" spans="1:19" ht="17.25" thickBot="1">
      <c r="A85" s="126"/>
      <c r="B85" s="127"/>
      <c r="C85" s="74"/>
      <c r="D85" s="127"/>
      <c r="E85" s="74" t="str">
        <f t="shared" si="38"/>
        <v/>
      </c>
      <c r="F85" s="203" t="str">
        <f>IF(ISNUMBER(D85), $B91 * E85, "")</f>
        <v/>
      </c>
      <c r="G85" s="44"/>
      <c r="H85" s="74" t="str">
        <f t="shared" si="39"/>
        <v/>
      </c>
      <c r="I85" s="204" t="str">
        <f>IF(ISNUMBER(G85), $B91 * H85, "")</f>
        <v/>
      </c>
      <c r="J85" s="127"/>
      <c r="K85" s="74" t="str">
        <f t="shared" si="40"/>
        <v/>
      </c>
      <c r="L85" s="203" t="str">
        <f>IF(ISNUMBER(J85), $B91 * K85, "")</f>
        <v/>
      </c>
      <c r="M85" s="44"/>
      <c r="N85" s="74" t="str">
        <f t="shared" si="41"/>
        <v/>
      </c>
      <c r="O85" s="203" t="str">
        <f>IF(ISNUMBER(M85), $B91 * N85, "")</f>
        <v/>
      </c>
      <c r="Q85" s="270"/>
      <c r="R85" s="270"/>
      <c r="S85" s="270"/>
    </row>
    <row r="86" spans="1:19" ht="17.25" thickBot="1">
      <c r="A86" s="124"/>
      <c r="B86" s="128"/>
      <c r="C86" s="76"/>
      <c r="D86" s="128"/>
      <c r="E86" s="76" t="str">
        <f>IF(ISNUMBER(D86), (D86 - $B86) / $B86, "")</f>
        <v/>
      </c>
      <c r="F86" s="205" t="str">
        <f>IF(ISNUMBER(D86), $B91 * E86, "")</f>
        <v/>
      </c>
      <c r="G86" s="45"/>
      <c r="H86" s="76" t="str">
        <f>IF(ISNUMBER(G86), (G86 - $B86) / $B86, "")</f>
        <v/>
      </c>
      <c r="I86" s="206" t="str">
        <f>IF(ISNUMBER(G86), $B91 * H86, "")</f>
        <v/>
      </c>
      <c r="J86" s="128"/>
      <c r="K86" s="76" t="str">
        <f>IF(ISNUMBER(J86), (J86 - $B86) / $B86, "")</f>
        <v/>
      </c>
      <c r="L86" s="205" t="str">
        <f>IF(ISNUMBER(J86), $B91 * K86, "")</f>
        <v/>
      </c>
      <c r="M86" s="45"/>
      <c r="N86" s="76" t="str">
        <f>IF(ISNUMBER(M86), (M86 - $B86) / $B86, "")</f>
        <v/>
      </c>
      <c r="O86" s="205" t="str">
        <f>IF(ISNUMBER(M86), $B91 * N86, "")</f>
        <v/>
      </c>
      <c r="Q86" s="275"/>
      <c r="R86" s="275"/>
      <c r="S86" s="275"/>
    </row>
    <row r="87" spans="1:19" ht="17.25" thickBot="1">
      <c r="A87" s="124"/>
      <c r="B87" s="125"/>
      <c r="C87" s="73"/>
      <c r="D87" s="125"/>
      <c r="E87" s="73" t="str">
        <f t="shared" ref="E87:E90" si="42">IF(ISNUMBER(D87), (D87 - $B87) / $B87, "")</f>
        <v/>
      </c>
      <c r="F87" s="136" t="str">
        <f>IF(ISNUMBER(D87), $B91 * E87, "")</f>
        <v/>
      </c>
      <c r="G87" s="39"/>
      <c r="H87" s="73" t="str">
        <f t="shared" ref="H87:H90" si="43">IF(ISNUMBER(G87), (G87 - $B87) / $B87, "")</f>
        <v/>
      </c>
      <c r="I87" s="202" t="str">
        <f>IF(ISNUMBER(G87), $B91 * H87, "")</f>
        <v/>
      </c>
      <c r="J87" s="125"/>
      <c r="K87" s="73" t="str">
        <f t="shared" ref="K87:K90" si="44">IF(ISNUMBER(J87), (J87 - $B87) / $B87, "")</f>
        <v/>
      </c>
      <c r="L87" s="136" t="str">
        <f>IF(ISNUMBER(J87), $B91 * K87, "")</f>
        <v/>
      </c>
      <c r="M87" s="39"/>
      <c r="N87" s="73" t="str">
        <f t="shared" ref="N87:N90" si="45">IF(ISNUMBER(M87), (M87 - $B87) / $B87, "")</f>
        <v/>
      </c>
      <c r="O87" s="136" t="str">
        <f>IF(ISNUMBER(M87), $B91 * N87, "")</f>
        <v/>
      </c>
      <c r="Q87" s="275"/>
      <c r="R87" s="275"/>
      <c r="S87" s="275"/>
    </row>
    <row r="88" spans="1:19" ht="17.25" thickBot="1">
      <c r="A88" s="124"/>
      <c r="B88" s="125"/>
      <c r="C88" s="73"/>
      <c r="D88" s="125"/>
      <c r="E88" s="73" t="str">
        <f t="shared" si="42"/>
        <v/>
      </c>
      <c r="F88" s="136" t="str">
        <f>IF(ISNUMBER(D88), $B91 * E88, "")</f>
        <v/>
      </c>
      <c r="G88" s="39"/>
      <c r="H88" s="73" t="str">
        <f t="shared" si="43"/>
        <v/>
      </c>
      <c r="I88" s="202" t="str">
        <f>IF(ISNUMBER(G88), $B91 * H88, "")</f>
        <v/>
      </c>
      <c r="J88" s="125"/>
      <c r="K88" s="73" t="str">
        <f t="shared" si="44"/>
        <v/>
      </c>
      <c r="L88" s="136" t="str">
        <f>IF(ISNUMBER(J88), $B91 * K88, "")</f>
        <v/>
      </c>
      <c r="M88" s="39"/>
      <c r="N88" s="73" t="str">
        <f t="shared" si="45"/>
        <v/>
      </c>
      <c r="O88" s="136" t="str">
        <f>IF(ISNUMBER(M88), $B91 * N88, "")</f>
        <v/>
      </c>
      <c r="Q88" s="275"/>
      <c r="R88" s="275"/>
      <c r="S88" s="275"/>
    </row>
    <row r="89" spans="1:19">
      <c r="A89" s="124"/>
      <c r="B89" s="125"/>
      <c r="C89" s="73"/>
      <c r="D89" s="125"/>
      <c r="E89" s="73" t="str">
        <f t="shared" si="42"/>
        <v/>
      </c>
      <c r="F89" s="136" t="str">
        <f>IF(ISNUMBER(D89), $B91 * E89, "")</f>
        <v/>
      </c>
      <c r="G89" s="39"/>
      <c r="H89" s="73" t="str">
        <f t="shared" si="43"/>
        <v/>
      </c>
      <c r="I89" s="202" t="str">
        <f>IF(ISNUMBER(G89), $B91 * H89, "")</f>
        <v/>
      </c>
      <c r="J89" s="125"/>
      <c r="K89" s="73" t="str">
        <f t="shared" si="44"/>
        <v/>
      </c>
      <c r="L89" s="136" t="str">
        <f>IF(ISNUMBER(J89), $B91 * K89, "")</f>
        <v/>
      </c>
      <c r="M89" s="39"/>
      <c r="N89" s="73" t="str">
        <f t="shared" si="45"/>
        <v/>
      </c>
      <c r="O89" s="136" t="str">
        <f>IF(ISNUMBER(M89), $B91 * N89, "")</f>
        <v/>
      </c>
      <c r="Q89" s="297"/>
      <c r="R89" s="298"/>
      <c r="S89" s="299"/>
    </row>
    <row r="90" spans="1:19" ht="17.25" thickBot="1">
      <c r="A90" s="129"/>
      <c r="B90" s="130"/>
      <c r="C90" s="75"/>
      <c r="D90" s="130"/>
      <c r="E90" s="75" t="str">
        <f t="shared" si="42"/>
        <v/>
      </c>
      <c r="F90" s="137" t="str">
        <f>IF(ISNUMBER(D90), $B91 * E90, "")</f>
        <v/>
      </c>
      <c r="G90" s="37"/>
      <c r="H90" s="75" t="str">
        <f t="shared" si="43"/>
        <v/>
      </c>
      <c r="I90" s="207" t="str">
        <f>IF(ISNUMBER(G90), $B91 * H90, "")</f>
        <v/>
      </c>
      <c r="J90" s="130"/>
      <c r="K90" s="75" t="str">
        <f t="shared" si="44"/>
        <v/>
      </c>
      <c r="L90" s="137" t="str">
        <f>IF(ISNUMBER(J90), $B91 * K90, "")</f>
        <v/>
      </c>
      <c r="M90" s="37"/>
      <c r="N90" s="75" t="str">
        <f t="shared" si="45"/>
        <v/>
      </c>
      <c r="O90" s="137" t="str">
        <f>IF(ISNUMBER(M90), $B91 * N90, "")</f>
        <v/>
      </c>
      <c r="Q90" s="300"/>
      <c r="R90" s="301"/>
      <c r="S90" s="302"/>
    </row>
    <row r="91" spans="1:19" ht="17.25" thickBot="1">
      <c r="A91" s="131" t="s">
        <v>301</v>
      </c>
      <c r="B91" s="308">
        <f>$B$37</f>
        <v>150000</v>
      </c>
      <c r="C91" s="309"/>
      <c r="D91" s="131" t="s">
        <v>302</v>
      </c>
      <c r="E91" s="195">
        <f>IF(COUNT(E71:E90), SUM(E71:E90) / COUNT(E71:E90), 0)</f>
        <v>0</v>
      </c>
      <c r="F91" s="208">
        <f>SUM(F71:F90)</f>
        <v>0</v>
      </c>
      <c r="G91" s="131" t="s">
        <v>302</v>
      </c>
      <c r="H91" s="195">
        <f>IF(COUNT(H71:H90), SUM(H71:H90) / COUNT(H71:H90), 0)</f>
        <v>0</v>
      </c>
      <c r="I91" s="208">
        <f>SUM(I71:I90)</f>
        <v>0</v>
      </c>
      <c r="J91" s="131" t="s">
        <v>302</v>
      </c>
      <c r="K91" s="195">
        <f>IF(COUNT(K71:K90), SUM(K71:K90) / COUNT(K71:K90), 0)</f>
        <v>0</v>
      </c>
      <c r="L91" s="208">
        <f>SUM(L71:L90)</f>
        <v>0</v>
      </c>
      <c r="M91" s="131" t="s">
        <v>302</v>
      </c>
      <c r="N91" s="195">
        <f>IF(COUNT(N71:N90), SUM(N71:N90) / COUNT(N71:N90), 0)</f>
        <v>0</v>
      </c>
      <c r="O91" s="208">
        <f>SUM(O71:O90)</f>
        <v>0</v>
      </c>
      <c r="Q91" s="303"/>
      <c r="R91" s="304"/>
      <c r="S91" s="305"/>
    </row>
    <row r="93" spans="1:19" ht="17.25" thickBot="1"/>
    <row r="94" spans="1:19" ht="17.25" thickBot="1">
      <c r="A94" s="249" t="s">
        <v>46</v>
      </c>
      <c r="B94" s="250"/>
      <c r="C94" s="250"/>
      <c r="D94" s="250"/>
      <c r="E94" s="250"/>
      <c r="F94" s="250"/>
      <c r="G94" s="250"/>
      <c r="H94" s="250"/>
      <c r="I94" s="250"/>
      <c r="J94" s="250"/>
      <c r="K94" s="250"/>
      <c r="L94" s="250"/>
      <c r="M94" s="250"/>
      <c r="N94" s="250"/>
      <c r="O94" s="251"/>
      <c r="Q94" s="270"/>
      <c r="R94" s="270"/>
      <c r="S94" s="270"/>
    </row>
    <row r="95" spans="1:19" ht="17.25" thickBot="1">
      <c r="A95" s="186" t="s">
        <v>298</v>
      </c>
      <c r="B95" s="249" t="s">
        <v>49</v>
      </c>
      <c r="C95" s="251"/>
      <c r="D95" s="249" t="s">
        <v>58</v>
      </c>
      <c r="E95" s="250"/>
      <c r="F95" s="251"/>
      <c r="G95" s="276">
        <f>_xlfn.IFNA(VLOOKUP(B95, 현재가테이블!$B$2:$D$200, 2, FALSE), "-")</f>
        <v>60874000</v>
      </c>
      <c r="H95" s="277"/>
      <c r="I95" s="278"/>
      <c r="J95" s="249" t="s">
        <v>59</v>
      </c>
      <c r="K95" s="250"/>
      <c r="L95" s="251"/>
      <c r="M95" s="279">
        <f>_xlfn.IFNA(VLOOKUP(B95, 현재가테이블!$B$2:$D$200, 3, FALSE), "-")</f>
        <v>-1.4936000099999999E-2</v>
      </c>
      <c r="N95" s="280"/>
      <c r="O95" s="281"/>
      <c r="Q95" s="270"/>
      <c r="R95" s="270"/>
      <c r="S95" s="270"/>
    </row>
    <row r="96" spans="1:19" ht="17.25" thickBot="1">
      <c r="A96" s="310" t="s">
        <v>55</v>
      </c>
      <c r="B96" s="312" t="str">
        <f>TEXT($G$1, "[$-ko-KR]yyyy-mm-dd(ddd) ") &amp; "오전 00:00"</f>
        <v>2021-05-01(토) 오전 00:00</v>
      </c>
      <c r="C96" s="313"/>
      <c r="D96" s="249" t="str">
        <f>TEXT($G$1, "[$-ko-KR]yyyy-mm-dd(ddd) ") &amp; "오후 14:00"</f>
        <v>2021-05-01(토) 오후 14:00</v>
      </c>
      <c r="E96" s="250"/>
      <c r="F96" s="251"/>
      <c r="G96" s="249" t="str">
        <f>TEXT($G$1, "[$-ko-KR]yyyy-mm-dd(ddd) ") &amp; "오후 19:00"</f>
        <v>2021-05-01(토) 오후 19:00</v>
      </c>
      <c r="H96" s="250"/>
      <c r="I96" s="251"/>
      <c r="J96" s="249" t="str">
        <f>TEXT($G$1, "[$-ko-KR]yyyy-mm-dd(ddd) ") &amp; "오후 21:00"</f>
        <v>2021-05-01(토) 오후 21:00</v>
      </c>
      <c r="K96" s="250"/>
      <c r="L96" s="251"/>
      <c r="M96" s="249" t="str">
        <f>TEXT($G$1+1, "[$-ko-KR]yyyy-mm-dd(ddd) ") &amp; "오전 00:00"</f>
        <v>2021-05-02(일) 오전 00:00</v>
      </c>
      <c r="N96" s="250"/>
      <c r="O96" s="251"/>
      <c r="Q96" s="270"/>
      <c r="R96" s="270"/>
      <c r="S96" s="270"/>
    </row>
    <row r="97" spans="1:19" ht="17.25" thickBot="1">
      <c r="A97" s="311"/>
      <c r="B97" s="120" t="s">
        <v>58</v>
      </c>
      <c r="C97" s="121" t="s">
        <v>59</v>
      </c>
      <c r="D97" s="120" t="s">
        <v>58</v>
      </c>
      <c r="E97" s="121" t="s">
        <v>299</v>
      </c>
      <c r="F97" s="196" t="s">
        <v>300</v>
      </c>
      <c r="G97" s="186" t="s">
        <v>58</v>
      </c>
      <c r="H97" s="187" t="s">
        <v>299</v>
      </c>
      <c r="I97" s="188" t="s">
        <v>300</v>
      </c>
      <c r="J97" s="121" t="s">
        <v>58</v>
      </c>
      <c r="K97" s="121" t="s">
        <v>299</v>
      </c>
      <c r="L97" s="190" t="s">
        <v>300</v>
      </c>
      <c r="M97" s="120" t="s">
        <v>58</v>
      </c>
      <c r="N97" s="121" t="s">
        <v>299</v>
      </c>
      <c r="O97" s="191" t="s">
        <v>300</v>
      </c>
      <c r="Q97" s="275"/>
      <c r="R97" s="275"/>
      <c r="S97" s="275"/>
    </row>
    <row r="98" spans="1:19" ht="17.25" thickBot="1">
      <c r="A98" s="122"/>
      <c r="B98" s="123"/>
      <c r="C98" s="72"/>
      <c r="D98" s="123"/>
      <c r="E98" s="72" t="str">
        <f>IF(ISNUMBER(D98), (D98 - $B98) / $B98, "")</f>
        <v/>
      </c>
      <c r="F98" s="140" t="str">
        <f>IF(ISNUMBER(D98), $B118 * E98, "")</f>
        <v/>
      </c>
      <c r="G98" s="38"/>
      <c r="H98" s="72" t="str">
        <f>IF(ISNUMBER(G98), (G98 - $B98) / $B98, "")</f>
        <v/>
      </c>
      <c r="I98" s="201" t="str">
        <f>IF(ISNUMBER(G98), $B118 * H98, "")</f>
        <v/>
      </c>
      <c r="J98" s="123"/>
      <c r="K98" s="72" t="str">
        <f>IF(ISNUMBER(J98), (J98 - $B98) / $B98, "")</f>
        <v/>
      </c>
      <c r="L98" s="140" t="str">
        <f>IF(ISNUMBER(J98), $B118 * K98, "")</f>
        <v/>
      </c>
      <c r="M98" s="38"/>
      <c r="N98" s="72" t="str">
        <f>IF(ISNUMBER(M98), (M98 - $B98) / $B98, "")</f>
        <v/>
      </c>
      <c r="O98" s="140" t="str">
        <f>IF(ISNUMBER(M98), $B118 * N98, "")</f>
        <v/>
      </c>
      <c r="Q98" s="270"/>
      <c r="R98" s="270"/>
      <c r="S98" s="270"/>
    </row>
    <row r="99" spans="1:19" ht="17.25" thickBot="1">
      <c r="A99" s="124"/>
      <c r="B99" s="125"/>
      <c r="C99" s="73"/>
      <c r="D99" s="125"/>
      <c r="E99" s="73" t="str">
        <f t="shared" ref="E99:E102" si="46">IF(ISNUMBER(D99), (D99 - $B99) / $B99, "")</f>
        <v/>
      </c>
      <c r="F99" s="136" t="str">
        <f>IF(ISNUMBER(D99), $B118 * E99, "")</f>
        <v/>
      </c>
      <c r="G99" s="39"/>
      <c r="H99" s="73" t="str">
        <f t="shared" ref="H99:H102" si="47">IF(ISNUMBER(G99), (G99 - $B99) / $B99, "")</f>
        <v/>
      </c>
      <c r="I99" s="202" t="str">
        <f>IF(ISNUMBER(G99), $B118 * H99, "")</f>
        <v/>
      </c>
      <c r="J99" s="125"/>
      <c r="K99" s="73" t="str">
        <f t="shared" ref="K99:K102" si="48">IF(ISNUMBER(J99), (J99 - $B99) / $B99, "")</f>
        <v/>
      </c>
      <c r="L99" s="136" t="str">
        <f>IF(ISNUMBER(J99), $B118 * K99, "")</f>
        <v/>
      </c>
      <c r="M99" s="39"/>
      <c r="N99" s="73" t="str">
        <f t="shared" ref="N99:N102" si="49">IF(ISNUMBER(M99), (M99 - $B99) / $B99, "")</f>
        <v/>
      </c>
      <c r="O99" s="136" t="str">
        <f>IF(ISNUMBER(M99), $B118 * N99, "")</f>
        <v/>
      </c>
      <c r="Q99" s="270"/>
      <c r="R99" s="270"/>
      <c r="S99" s="270"/>
    </row>
    <row r="100" spans="1:19" ht="17.25" thickBot="1">
      <c r="A100" s="124"/>
      <c r="B100" s="125"/>
      <c r="C100" s="73"/>
      <c r="D100" s="125"/>
      <c r="E100" s="73" t="str">
        <f t="shared" si="46"/>
        <v/>
      </c>
      <c r="F100" s="136" t="str">
        <f>IF(ISNUMBER(D100), $B118 * E100, "")</f>
        <v/>
      </c>
      <c r="G100" s="39"/>
      <c r="H100" s="73" t="str">
        <f t="shared" si="47"/>
        <v/>
      </c>
      <c r="I100" s="202" t="str">
        <f>IF(ISNUMBER(G100), $B118 * H100, "")</f>
        <v/>
      </c>
      <c r="J100" s="125"/>
      <c r="K100" s="73" t="str">
        <f t="shared" si="48"/>
        <v/>
      </c>
      <c r="L100" s="136" t="str">
        <f>IF(ISNUMBER(J100), $B118 * K100, "")</f>
        <v/>
      </c>
      <c r="M100" s="39"/>
      <c r="N100" s="73" t="str">
        <f t="shared" si="49"/>
        <v/>
      </c>
      <c r="O100" s="136" t="str">
        <f>IF(ISNUMBER(M100), $B118 * N100, "")</f>
        <v/>
      </c>
      <c r="Q100" s="275"/>
      <c r="R100" s="275"/>
      <c r="S100" s="275"/>
    </row>
    <row r="101" spans="1:19" ht="17.25" thickBot="1">
      <c r="A101" s="124"/>
      <c r="B101" s="125"/>
      <c r="C101" s="73"/>
      <c r="D101" s="125"/>
      <c r="E101" s="73" t="str">
        <f t="shared" si="46"/>
        <v/>
      </c>
      <c r="F101" s="136" t="str">
        <f>IF(ISNUMBER(D101), $B118 * E101, "")</f>
        <v/>
      </c>
      <c r="G101" s="39"/>
      <c r="H101" s="73" t="str">
        <f t="shared" si="47"/>
        <v/>
      </c>
      <c r="I101" s="202" t="str">
        <f>IF(ISNUMBER(G101), $B118 * H101, "")</f>
        <v/>
      </c>
      <c r="J101" s="125"/>
      <c r="K101" s="73" t="str">
        <f t="shared" si="48"/>
        <v/>
      </c>
      <c r="L101" s="136" t="str">
        <f>IF(ISNUMBER(J101), $B118 * K101, "")</f>
        <v/>
      </c>
      <c r="M101" s="39"/>
      <c r="N101" s="73" t="str">
        <f t="shared" si="49"/>
        <v/>
      </c>
      <c r="O101" s="136" t="str">
        <f>IF(ISNUMBER(M101), $B118 * N101, "")</f>
        <v/>
      </c>
      <c r="Q101" s="275"/>
      <c r="R101" s="275"/>
      <c r="S101" s="275"/>
    </row>
    <row r="102" spans="1:19" ht="17.25" thickBot="1">
      <c r="A102" s="126"/>
      <c r="B102" s="127"/>
      <c r="C102" s="74"/>
      <c r="D102" s="127"/>
      <c r="E102" s="74" t="str">
        <f t="shared" si="46"/>
        <v/>
      </c>
      <c r="F102" s="203" t="str">
        <f>IF(ISNUMBER(D102), $B118 * E102, "")</f>
        <v/>
      </c>
      <c r="G102" s="44"/>
      <c r="H102" s="74" t="str">
        <f t="shared" si="47"/>
        <v/>
      </c>
      <c r="I102" s="204" t="str">
        <f>IF(ISNUMBER(G102), $B118 * H102, "")</f>
        <v/>
      </c>
      <c r="J102" s="127"/>
      <c r="K102" s="74" t="str">
        <f t="shared" si="48"/>
        <v/>
      </c>
      <c r="L102" s="203" t="str">
        <f>IF(ISNUMBER(J102), $B118 * K102, "")</f>
        <v/>
      </c>
      <c r="M102" s="44"/>
      <c r="N102" s="74" t="str">
        <f t="shared" si="49"/>
        <v/>
      </c>
      <c r="O102" s="203" t="str">
        <f>IF(ISNUMBER(M102), $B118 * N102, "")</f>
        <v/>
      </c>
      <c r="Q102" s="275"/>
      <c r="R102" s="275"/>
      <c r="S102" s="275"/>
    </row>
    <row r="103" spans="1:19" ht="17.25" thickBot="1">
      <c r="A103" s="124"/>
      <c r="B103" s="128"/>
      <c r="C103" s="76"/>
      <c r="D103" s="128"/>
      <c r="E103" s="76" t="str">
        <f>IF(ISNUMBER(D103), (D103 - $B103) / $B103, "")</f>
        <v/>
      </c>
      <c r="F103" s="205" t="str">
        <f>IF(ISNUMBER(D103), $B118 * E103, "")</f>
        <v/>
      </c>
      <c r="G103" s="45"/>
      <c r="H103" s="76" t="str">
        <f>IF(ISNUMBER(G103), (G103 - $B103) / $B103, "")</f>
        <v/>
      </c>
      <c r="I103" s="206" t="str">
        <f>IF(ISNUMBER(G103), $B118 * H103, "")</f>
        <v/>
      </c>
      <c r="J103" s="128"/>
      <c r="K103" s="76" t="str">
        <f>IF(ISNUMBER(J103), (J103 - $B103) / $B103, "")</f>
        <v/>
      </c>
      <c r="L103" s="205" t="str">
        <f>IF(ISNUMBER(J103), $B118 * K103, "")</f>
        <v/>
      </c>
      <c r="M103" s="45"/>
      <c r="N103" s="76" t="str">
        <f>IF(ISNUMBER(M103), (M103 - $B103) / $B103, "")</f>
        <v/>
      </c>
      <c r="O103" s="205" t="str">
        <f>IF(ISNUMBER(M103), $B118 * N103, "")</f>
        <v/>
      </c>
      <c r="Q103" s="275"/>
      <c r="R103" s="275"/>
      <c r="S103" s="275"/>
    </row>
    <row r="104" spans="1:19" ht="17.25" thickBot="1">
      <c r="A104" s="124"/>
      <c r="B104" s="125"/>
      <c r="C104" s="73"/>
      <c r="D104" s="125"/>
      <c r="E104" s="73" t="str">
        <f t="shared" ref="E104:E107" si="50">IF(ISNUMBER(D104), (D104 - $B104) / $B104, "")</f>
        <v/>
      </c>
      <c r="F104" s="136" t="str">
        <f>IF(ISNUMBER(D104), $B118 * E104, "")</f>
        <v/>
      </c>
      <c r="G104" s="39"/>
      <c r="H104" s="73" t="str">
        <f t="shared" ref="H104:H107" si="51">IF(ISNUMBER(G104), (G104 - $B104) / $B104, "")</f>
        <v/>
      </c>
      <c r="I104" s="202" t="str">
        <f>IF(ISNUMBER(G104), $B118 * H104, "")</f>
        <v/>
      </c>
      <c r="J104" s="125"/>
      <c r="K104" s="73" t="str">
        <f t="shared" ref="K104:K107" si="52">IF(ISNUMBER(J104), (J104 - $B104) / $B104, "")</f>
        <v/>
      </c>
      <c r="L104" s="136" t="str">
        <f>IF(ISNUMBER(J104), $B118 * K104, "")</f>
        <v/>
      </c>
      <c r="M104" s="39"/>
      <c r="N104" s="73" t="str">
        <f t="shared" ref="N104:N107" si="53">IF(ISNUMBER(M104), (M104 - $B104) / $B104, "")</f>
        <v/>
      </c>
      <c r="O104" s="136" t="str">
        <f>IF(ISNUMBER(M104), $B118 * N104, "")</f>
        <v/>
      </c>
      <c r="Q104" s="275"/>
      <c r="R104" s="275"/>
      <c r="S104" s="275"/>
    </row>
    <row r="105" spans="1:19" ht="17.25" thickBot="1">
      <c r="A105" s="124"/>
      <c r="B105" s="125"/>
      <c r="C105" s="73"/>
      <c r="D105" s="125"/>
      <c r="E105" s="73" t="str">
        <f t="shared" si="50"/>
        <v/>
      </c>
      <c r="F105" s="136" t="str">
        <f>IF(ISNUMBER(D105), $B118 * E105, "")</f>
        <v/>
      </c>
      <c r="G105" s="39"/>
      <c r="H105" s="73" t="str">
        <f t="shared" si="51"/>
        <v/>
      </c>
      <c r="I105" s="202" t="str">
        <f>IF(ISNUMBER(G105), $B118 * H105, "")</f>
        <v/>
      </c>
      <c r="J105" s="125"/>
      <c r="K105" s="73" t="str">
        <f t="shared" si="52"/>
        <v/>
      </c>
      <c r="L105" s="136" t="str">
        <f>IF(ISNUMBER(J105), $B118 * K105, "")</f>
        <v/>
      </c>
      <c r="M105" s="39"/>
      <c r="N105" s="73" t="str">
        <f t="shared" si="53"/>
        <v/>
      </c>
      <c r="O105" s="136" t="str">
        <f>IF(ISNUMBER(M105), $B118 * N105, "")</f>
        <v/>
      </c>
      <c r="Q105" s="275"/>
      <c r="R105" s="275"/>
      <c r="S105" s="275"/>
    </row>
    <row r="106" spans="1:19" ht="17.25" thickBot="1">
      <c r="A106" s="124"/>
      <c r="B106" s="125"/>
      <c r="C106" s="73"/>
      <c r="D106" s="125"/>
      <c r="E106" s="73" t="str">
        <f t="shared" si="50"/>
        <v/>
      </c>
      <c r="F106" s="136" t="str">
        <f>IF(ISNUMBER(D106), $B118 * E106, "")</f>
        <v/>
      </c>
      <c r="G106" s="39"/>
      <c r="H106" s="73" t="str">
        <f t="shared" si="51"/>
        <v/>
      </c>
      <c r="I106" s="202" t="str">
        <f>IF(ISNUMBER(G106), $B118 * H106, "")</f>
        <v/>
      </c>
      <c r="J106" s="125"/>
      <c r="K106" s="73" t="str">
        <f t="shared" si="52"/>
        <v/>
      </c>
      <c r="L106" s="136" t="str">
        <f>IF(ISNUMBER(J106), $B118 * K106, "")</f>
        <v/>
      </c>
      <c r="M106" s="39"/>
      <c r="N106" s="73" t="str">
        <f t="shared" si="53"/>
        <v/>
      </c>
      <c r="O106" s="136" t="str">
        <f>IF(ISNUMBER(M106), $B118 * N106, "")</f>
        <v/>
      </c>
      <c r="Q106" s="33"/>
      <c r="R106" s="33"/>
    </row>
    <row r="107" spans="1:19" ht="17.25" thickBot="1">
      <c r="A107" s="129"/>
      <c r="B107" s="130"/>
      <c r="C107" s="75"/>
      <c r="D107" s="130"/>
      <c r="E107" s="75" t="str">
        <f t="shared" si="50"/>
        <v/>
      </c>
      <c r="F107" s="137" t="str">
        <f>IF(ISNUMBER(D107), $B118 * E107, "")</f>
        <v/>
      </c>
      <c r="G107" s="37"/>
      <c r="H107" s="75" t="str">
        <f t="shared" si="51"/>
        <v/>
      </c>
      <c r="I107" s="207" t="str">
        <f>IF(ISNUMBER(G107), $B118 * H107, "")</f>
        <v/>
      </c>
      <c r="J107" s="130"/>
      <c r="K107" s="75" t="str">
        <f t="shared" si="52"/>
        <v/>
      </c>
      <c r="L107" s="137" t="str">
        <f>IF(ISNUMBER(J107), $B118 * K107, "")</f>
        <v/>
      </c>
      <c r="M107" s="37"/>
      <c r="N107" s="75" t="str">
        <f t="shared" si="53"/>
        <v/>
      </c>
      <c r="O107" s="137" t="str">
        <f>IF(ISNUMBER(M107), $B118 * N107, "")</f>
        <v/>
      </c>
      <c r="Q107" s="284"/>
      <c r="R107" s="285"/>
      <c r="S107" s="286"/>
    </row>
    <row r="108" spans="1:19">
      <c r="A108" s="122"/>
      <c r="B108" s="123"/>
      <c r="C108" s="72"/>
      <c r="D108" s="123"/>
      <c r="E108" s="72" t="str">
        <f>IF(ISNUMBER(D108), (D108 - $B108) / $B108, "")</f>
        <v/>
      </c>
      <c r="F108" s="140" t="str">
        <f>IF(ISNUMBER(D108), $B118 * E108, "")</f>
        <v/>
      </c>
      <c r="G108" s="38"/>
      <c r="H108" s="72" t="str">
        <f>IF(ISNUMBER(G108), (G108 - $B108) / $B108, "")</f>
        <v/>
      </c>
      <c r="I108" s="201" t="str">
        <f>IF(ISNUMBER(G108), $B118 * H108, "")</f>
        <v/>
      </c>
      <c r="J108" s="123"/>
      <c r="K108" s="72" t="str">
        <f>IF(ISNUMBER(J108), (J108 - $B108) / $B108, "")</f>
        <v/>
      </c>
      <c r="L108" s="140" t="str">
        <f>IF(ISNUMBER(J108), $B118 * K108, "")</f>
        <v/>
      </c>
      <c r="M108" s="38"/>
      <c r="N108" s="72" t="str">
        <f>IF(ISNUMBER(M108), (M108 - $B108) / $B108, "")</f>
        <v/>
      </c>
      <c r="O108" s="140" t="str">
        <f>IF(ISNUMBER(M108), $B118 * N108, "")</f>
        <v/>
      </c>
      <c r="Q108" s="287"/>
      <c r="R108" s="288"/>
      <c r="S108" s="289"/>
    </row>
    <row r="109" spans="1:19" ht="17.25" thickBot="1">
      <c r="A109" s="124"/>
      <c r="B109" s="125"/>
      <c r="C109" s="73"/>
      <c r="D109" s="125"/>
      <c r="E109" s="73" t="str">
        <f t="shared" ref="E109:E112" si="54">IF(ISNUMBER(D109), (D109 - $B109) / $B109, "")</f>
        <v/>
      </c>
      <c r="F109" s="136" t="str">
        <f>IF(ISNUMBER(D109), $B118 * E109, "")</f>
        <v/>
      </c>
      <c r="G109" s="39"/>
      <c r="H109" s="73" t="str">
        <f t="shared" ref="H109:H112" si="55">IF(ISNUMBER(G109), (G109 - $B109) / $B109, "")</f>
        <v/>
      </c>
      <c r="I109" s="202" t="str">
        <f>IF(ISNUMBER(G109), $B118 * H109, "")</f>
        <v/>
      </c>
      <c r="J109" s="125"/>
      <c r="K109" s="73" t="str">
        <f t="shared" ref="K109:K112" si="56">IF(ISNUMBER(J109), (J109 - $B109) / $B109, "")</f>
        <v/>
      </c>
      <c r="L109" s="136" t="str">
        <f>IF(ISNUMBER(J109), $B118 * K109, "")</f>
        <v/>
      </c>
      <c r="M109" s="39"/>
      <c r="N109" s="73" t="str">
        <f t="shared" ref="N109:N112" si="57">IF(ISNUMBER(M109), (M109 - $B109) / $B109, "")</f>
        <v/>
      </c>
      <c r="O109" s="136" t="str">
        <f>IF(ISNUMBER(M109), $B118 * N109, "")</f>
        <v/>
      </c>
      <c r="Q109" s="290"/>
      <c r="R109" s="291"/>
      <c r="S109" s="292"/>
    </row>
    <row r="110" spans="1:19" ht="17.25" thickBot="1">
      <c r="A110" s="124"/>
      <c r="B110" s="125"/>
      <c r="C110" s="73"/>
      <c r="D110" s="125"/>
      <c r="E110" s="73" t="str">
        <f t="shared" si="54"/>
        <v/>
      </c>
      <c r="F110" s="136" t="str">
        <f>IF(ISNUMBER(D110), $B118 * E110, "")</f>
        <v/>
      </c>
      <c r="G110" s="39"/>
      <c r="H110" s="73" t="str">
        <f t="shared" si="55"/>
        <v/>
      </c>
      <c r="I110" s="202" t="str">
        <f>IF(ISNUMBER(G110), $B118 * H110, "")</f>
        <v/>
      </c>
      <c r="J110" s="125"/>
      <c r="K110" s="73" t="str">
        <f t="shared" si="56"/>
        <v/>
      </c>
      <c r="L110" s="136" t="str">
        <f>IF(ISNUMBER(J110), $B118 * K110, "")</f>
        <v/>
      </c>
      <c r="M110" s="39"/>
      <c r="N110" s="73" t="str">
        <f t="shared" si="57"/>
        <v/>
      </c>
      <c r="O110" s="136" t="str">
        <f>IF(ISNUMBER(M110), $B118 * N110, "")</f>
        <v/>
      </c>
      <c r="Q110" s="275"/>
      <c r="R110" s="275"/>
      <c r="S110" s="275"/>
    </row>
    <row r="111" spans="1:19" ht="17.25" thickBot="1">
      <c r="A111" s="124"/>
      <c r="B111" s="125"/>
      <c r="C111" s="73"/>
      <c r="D111" s="125"/>
      <c r="E111" s="73" t="str">
        <f t="shared" si="54"/>
        <v/>
      </c>
      <c r="F111" s="136" t="str">
        <f>IF(ISNUMBER(D111), $B118 * E111, "")</f>
        <v/>
      </c>
      <c r="G111" s="39"/>
      <c r="H111" s="73" t="str">
        <f t="shared" si="55"/>
        <v/>
      </c>
      <c r="I111" s="202" t="str">
        <f>IF(ISNUMBER(G111), $B118 * H111, "")</f>
        <v/>
      </c>
      <c r="J111" s="125"/>
      <c r="K111" s="73" t="str">
        <f t="shared" si="56"/>
        <v/>
      </c>
      <c r="L111" s="136" t="str">
        <f>IF(ISNUMBER(J111), $B118 * K111, "")</f>
        <v/>
      </c>
      <c r="M111" s="39"/>
      <c r="N111" s="73" t="str">
        <f t="shared" si="57"/>
        <v/>
      </c>
      <c r="O111" s="136" t="str">
        <f>IF(ISNUMBER(M111), $B118 * N111, "")</f>
        <v/>
      </c>
      <c r="Q111" s="270"/>
      <c r="R111" s="270"/>
      <c r="S111" s="270"/>
    </row>
    <row r="112" spans="1:19" ht="17.25" thickBot="1">
      <c r="A112" s="126"/>
      <c r="B112" s="127"/>
      <c r="C112" s="74"/>
      <c r="D112" s="127"/>
      <c r="E112" s="74" t="str">
        <f t="shared" si="54"/>
        <v/>
      </c>
      <c r="F112" s="203" t="str">
        <f>IF(ISNUMBER(D112), $B118 * E112, "")</f>
        <v/>
      </c>
      <c r="G112" s="44"/>
      <c r="H112" s="74" t="str">
        <f t="shared" si="55"/>
        <v/>
      </c>
      <c r="I112" s="204" t="str">
        <f>IF(ISNUMBER(G112), $B118 * H112, "")</f>
        <v/>
      </c>
      <c r="J112" s="127"/>
      <c r="K112" s="74" t="str">
        <f t="shared" si="56"/>
        <v/>
      </c>
      <c r="L112" s="203" t="str">
        <f>IF(ISNUMBER(J112), $B118 * K112, "")</f>
        <v/>
      </c>
      <c r="M112" s="44"/>
      <c r="N112" s="74" t="str">
        <f t="shared" si="57"/>
        <v/>
      </c>
      <c r="O112" s="203" t="str">
        <f>IF(ISNUMBER(M112), $B118 * N112, "")</f>
        <v/>
      </c>
      <c r="Q112" s="270"/>
      <c r="R112" s="270"/>
      <c r="S112" s="270"/>
    </row>
    <row r="113" spans="1:19" ht="17.25" thickBot="1">
      <c r="A113" s="124"/>
      <c r="B113" s="128"/>
      <c r="C113" s="76"/>
      <c r="D113" s="128"/>
      <c r="E113" s="76" t="str">
        <f>IF(ISNUMBER(D113), (D113 - $B113) / $B113, "")</f>
        <v/>
      </c>
      <c r="F113" s="205" t="str">
        <f>IF(ISNUMBER(D113), $B118 * E113, "")</f>
        <v/>
      </c>
      <c r="G113" s="45"/>
      <c r="H113" s="76" t="str">
        <f>IF(ISNUMBER(G113), (G113 - $B113) / $B113, "")</f>
        <v/>
      </c>
      <c r="I113" s="206" t="str">
        <f>IF(ISNUMBER(G113), $B118 * H113, "")</f>
        <v/>
      </c>
      <c r="J113" s="128"/>
      <c r="K113" s="76" t="str">
        <f>IF(ISNUMBER(J113), (J113 - $B113) / $B113, "")</f>
        <v/>
      </c>
      <c r="L113" s="205" t="str">
        <f>IF(ISNUMBER(J113), $B118 * K113, "")</f>
        <v/>
      </c>
      <c r="M113" s="45"/>
      <c r="N113" s="76" t="str">
        <f>IF(ISNUMBER(M113), (M113 - $B113) / $B113, "")</f>
        <v/>
      </c>
      <c r="O113" s="205" t="str">
        <f>IF(ISNUMBER(M113), $B118 * N113, "")</f>
        <v/>
      </c>
      <c r="Q113" s="275"/>
      <c r="R113" s="275"/>
      <c r="S113" s="275"/>
    </row>
    <row r="114" spans="1:19" ht="17.25" thickBot="1">
      <c r="A114" s="124"/>
      <c r="B114" s="125"/>
      <c r="C114" s="73"/>
      <c r="D114" s="125"/>
      <c r="E114" s="73" t="str">
        <f t="shared" ref="E114:E117" si="58">IF(ISNUMBER(D114), (D114 - $B114) / $B114, "")</f>
        <v/>
      </c>
      <c r="F114" s="136" t="str">
        <f>IF(ISNUMBER(D114), $B118 * E114, "")</f>
        <v/>
      </c>
      <c r="G114" s="39"/>
      <c r="H114" s="73" t="str">
        <f t="shared" ref="H114:H117" si="59">IF(ISNUMBER(G114), (G114 - $B114) / $B114, "")</f>
        <v/>
      </c>
      <c r="I114" s="202" t="str">
        <f>IF(ISNUMBER(G114), $B118 * H114, "")</f>
        <v/>
      </c>
      <c r="J114" s="125"/>
      <c r="K114" s="73" t="str">
        <f t="shared" ref="K114:K117" si="60">IF(ISNUMBER(J114), (J114 - $B114) / $B114, "")</f>
        <v/>
      </c>
      <c r="L114" s="136" t="str">
        <f>IF(ISNUMBER(J114), $B118 * K114, "")</f>
        <v/>
      </c>
      <c r="M114" s="39"/>
      <c r="N114" s="73" t="str">
        <f t="shared" ref="N114:N117" si="61">IF(ISNUMBER(M114), (M114 - $B114) / $B114, "")</f>
        <v/>
      </c>
      <c r="O114" s="136" t="str">
        <f>IF(ISNUMBER(M114), $B118 * N114, "")</f>
        <v/>
      </c>
      <c r="Q114" s="275"/>
      <c r="R114" s="275"/>
      <c r="S114" s="275"/>
    </row>
    <row r="115" spans="1:19" ht="17.25" thickBot="1">
      <c r="A115" s="124"/>
      <c r="B115" s="125"/>
      <c r="C115" s="73"/>
      <c r="D115" s="125"/>
      <c r="E115" s="73" t="str">
        <f t="shared" si="58"/>
        <v/>
      </c>
      <c r="F115" s="136" t="str">
        <f>IF(ISNUMBER(D115), $B118 * E115, "")</f>
        <v/>
      </c>
      <c r="G115" s="39"/>
      <c r="H115" s="73" t="str">
        <f t="shared" si="59"/>
        <v/>
      </c>
      <c r="I115" s="202" t="str">
        <f>IF(ISNUMBER(G115), $B118 * H115, "")</f>
        <v/>
      </c>
      <c r="J115" s="125"/>
      <c r="K115" s="73" t="str">
        <f t="shared" si="60"/>
        <v/>
      </c>
      <c r="L115" s="136" t="str">
        <f>IF(ISNUMBER(J115), $B118 * K115, "")</f>
        <v/>
      </c>
      <c r="M115" s="39"/>
      <c r="N115" s="73" t="str">
        <f t="shared" si="61"/>
        <v/>
      </c>
      <c r="O115" s="136" t="str">
        <f>IF(ISNUMBER(M115), $B118 * N115, "")</f>
        <v/>
      </c>
      <c r="Q115" s="275"/>
      <c r="R115" s="275"/>
      <c r="S115" s="275"/>
    </row>
    <row r="116" spans="1:19">
      <c r="A116" s="124"/>
      <c r="B116" s="125"/>
      <c r="C116" s="73"/>
      <c r="D116" s="125"/>
      <c r="E116" s="73" t="str">
        <f t="shared" si="58"/>
        <v/>
      </c>
      <c r="F116" s="136" t="str">
        <f>IF(ISNUMBER(D116), $B118 * E116, "")</f>
        <v/>
      </c>
      <c r="G116" s="39"/>
      <c r="H116" s="73" t="str">
        <f t="shared" si="59"/>
        <v/>
      </c>
      <c r="I116" s="202" t="str">
        <f>IF(ISNUMBER(G116), $B118 * H116, "")</f>
        <v/>
      </c>
      <c r="J116" s="125"/>
      <c r="K116" s="73" t="str">
        <f t="shared" si="60"/>
        <v/>
      </c>
      <c r="L116" s="136" t="str">
        <f>IF(ISNUMBER(J116), $B118 * K116, "")</f>
        <v/>
      </c>
      <c r="M116" s="39"/>
      <c r="N116" s="73" t="str">
        <f t="shared" si="61"/>
        <v/>
      </c>
      <c r="O116" s="136" t="str">
        <f>IF(ISNUMBER(M116), $B118 * N116, "")</f>
        <v/>
      </c>
      <c r="Q116" s="297"/>
      <c r="R116" s="298"/>
      <c r="S116" s="299"/>
    </row>
    <row r="117" spans="1:19" ht="17.25" thickBot="1">
      <c r="A117" s="129"/>
      <c r="B117" s="130"/>
      <c r="C117" s="75"/>
      <c r="D117" s="130"/>
      <c r="E117" s="75" t="str">
        <f t="shared" si="58"/>
        <v/>
      </c>
      <c r="F117" s="137" t="str">
        <f>IF(ISNUMBER(D117), $B118 * E117, "")</f>
        <v/>
      </c>
      <c r="G117" s="37"/>
      <c r="H117" s="75" t="str">
        <f t="shared" si="59"/>
        <v/>
      </c>
      <c r="I117" s="207" t="str">
        <f>IF(ISNUMBER(G117), $B118 * H117, "")</f>
        <v/>
      </c>
      <c r="J117" s="130"/>
      <c r="K117" s="75" t="str">
        <f t="shared" si="60"/>
        <v/>
      </c>
      <c r="L117" s="137" t="str">
        <f>IF(ISNUMBER(J117), $B118 * K117, "")</f>
        <v/>
      </c>
      <c r="M117" s="37"/>
      <c r="N117" s="75" t="str">
        <f t="shared" si="61"/>
        <v/>
      </c>
      <c r="O117" s="137" t="str">
        <f>IF(ISNUMBER(M117), $B118 * N117, "")</f>
        <v/>
      </c>
      <c r="Q117" s="300"/>
      <c r="R117" s="301"/>
      <c r="S117" s="302"/>
    </row>
    <row r="118" spans="1:19" ht="17.25" thickBot="1">
      <c r="A118" s="131" t="s">
        <v>301</v>
      </c>
      <c r="B118" s="308">
        <f>$B$37</f>
        <v>150000</v>
      </c>
      <c r="C118" s="309"/>
      <c r="D118" s="131" t="s">
        <v>302</v>
      </c>
      <c r="E118" s="195">
        <f>IF(COUNT(E98:E117), SUM(E98:E117) / COUNT(E98:E117), 0)</f>
        <v>0</v>
      </c>
      <c r="F118" s="208">
        <f>SUM(F98:F117)</f>
        <v>0</v>
      </c>
      <c r="G118" s="131" t="s">
        <v>302</v>
      </c>
      <c r="H118" s="195">
        <f>IF(COUNT(H98:H117), SUM(H98:H117) / COUNT(H98:H117), 0)</f>
        <v>0</v>
      </c>
      <c r="I118" s="208">
        <f>SUM(I98:I117)</f>
        <v>0</v>
      </c>
      <c r="J118" s="131" t="s">
        <v>302</v>
      </c>
      <c r="K118" s="195">
        <f>IF(COUNT(K98:K117), SUM(K98:K117) / COUNT(K98:K117), 0)</f>
        <v>0</v>
      </c>
      <c r="L118" s="208">
        <f>SUM(L98:L117)</f>
        <v>0</v>
      </c>
      <c r="M118" s="131" t="s">
        <v>302</v>
      </c>
      <c r="N118" s="195">
        <f>IF(COUNT(N98:N117), SUM(N98:N117) / COUNT(N98:N117), 0)</f>
        <v>0</v>
      </c>
      <c r="O118" s="208">
        <f>SUM(O98:O117)</f>
        <v>0</v>
      </c>
      <c r="Q118" s="303"/>
      <c r="R118" s="304"/>
      <c r="S118" s="305"/>
    </row>
    <row r="120" spans="1:19" ht="17.25" thickBot="1"/>
    <row r="121" spans="1:19" ht="17.25" thickBot="1">
      <c r="A121" s="249" t="s">
        <v>288</v>
      </c>
      <c r="B121" s="250"/>
      <c r="C121" s="250"/>
      <c r="D121" s="250"/>
      <c r="E121" s="250"/>
      <c r="F121" s="250"/>
      <c r="G121" s="250"/>
      <c r="H121" s="250"/>
      <c r="I121" s="250"/>
      <c r="J121" s="250"/>
      <c r="K121" s="250"/>
      <c r="L121" s="250"/>
      <c r="M121" s="250"/>
      <c r="N121" s="250"/>
      <c r="O121" s="251"/>
      <c r="Q121" s="270"/>
      <c r="R121" s="270"/>
      <c r="S121" s="270"/>
    </row>
    <row r="122" spans="1:19" ht="17.25" thickBot="1">
      <c r="A122" s="186" t="s">
        <v>298</v>
      </c>
      <c r="B122" s="249" t="s">
        <v>49</v>
      </c>
      <c r="C122" s="251"/>
      <c r="D122" s="249" t="s">
        <v>58</v>
      </c>
      <c r="E122" s="250"/>
      <c r="F122" s="251"/>
      <c r="G122" s="276">
        <f>_xlfn.IFNA(VLOOKUP(B122, 현재가테이블!$B$2:$D$200, 2, FALSE), "-")</f>
        <v>60874000</v>
      </c>
      <c r="H122" s="277"/>
      <c r="I122" s="278"/>
      <c r="J122" s="249" t="s">
        <v>59</v>
      </c>
      <c r="K122" s="250"/>
      <c r="L122" s="251"/>
      <c r="M122" s="279">
        <f>_xlfn.IFNA(VLOOKUP(B122, 현재가테이블!$B$2:$D$200, 3, FALSE), "-")</f>
        <v>-1.4936000099999999E-2</v>
      </c>
      <c r="N122" s="280"/>
      <c r="O122" s="281"/>
      <c r="Q122" s="270"/>
      <c r="R122" s="270"/>
      <c r="S122" s="270"/>
    </row>
    <row r="123" spans="1:19" ht="17.25" thickBot="1">
      <c r="A123" s="310" t="s">
        <v>55</v>
      </c>
      <c r="B123" s="312" t="str">
        <f>TEXT($G$1, "[$-ko-KR]yyyy-mm-dd(ddd) ") &amp; "오전 00:00"</f>
        <v>2021-05-01(토) 오전 00:00</v>
      </c>
      <c r="C123" s="313"/>
      <c r="D123" s="249" t="str">
        <f>TEXT($G$1, "[$-ko-KR]yyyy-mm-dd(ddd) ") &amp; "오후 14:00"</f>
        <v>2021-05-01(토) 오후 14:00</v>
      </c>
      <c r="E123" s="250"/>
      <c r="F123" s="251"/>
      <c r="G123" s="249" t="str">
        <f>TEXT($G$1, "[$-ko-KR]yyyy-mm-dd(ddd) ") &amp; "오후 19:00"</f>
        <v>2021-05-01(토) 오후 19:00</v>
      </c>
      <c r="H123" s="250"/>
      <c r="I123" s="251"/>
      <c r="J123" s="249" t="str">
        <f>TEXT($G$1, "[$-ko-KR]yyyy-mm-dd(ddd) ") &amp; "오후 21:00"</f>
        <v>2021-05-01(토) 오후 21:00</v>
      </c>
      <c r="K123" s="250"/>
      <c r="L123" s="251"/>
      <c r="M123" s="249" t="str">
        <f>TEXT($G$1+1, "[$-ko-KR]yyyy-mm-dd(ddd) ") &amp; "오전 00:00"</f>
        <v>2021-05-02(일) 오전 00:00</v>
      </c>
      <c r="N123" s="250"/>
      <c r="O123" s="251"/>
      <c r="Q123" s="270"/>
      <c r="R123" s="270"/>
      <c r="S123" s="270"/>
    </row>
    <row r="124" spans="1:19" ht="17.25" thickBot="1">
      <c r="A124" s="311"/>
      <c r="B124" s="120" t="s">
        <v>58</v>
      </c>
      <c r="C124" s="121" t="s">
        <v>59</v>
      </c>
      <c r="D124" s="120" t="s">
        <v>58</v>
      </c>
      <c r="E124" s="121" t="s">
        <v>299</v>
      </c>
      <c r="F124" s="196" t="s">
        <v>300</v>
      </c>
      <c r="G124" s="186" t="s">
        <v>58</v>
      </c>
      <c r="H124" s="187" t="s">
        <v>299</v>
      </c>
      <c r="I124" s="188" t="s">
        <v>300</v>
      </c>
      <c r="J124" s="121" t="s">
        <v>58</v>
      </c>
      <c r="K124" s="121" t="s">
        <v>299</v>
      </c>
      <c r="L124" s="190" t="s">
        <v>300</v>
      </c>
      <c r="M124" s="120" t="s">
        <v>58</v>
      </c>
      <c r="N124" s="121" t="s">
        <v>299</v>
      </c>
      <c r="O124" s="191" t="s">
        <v>300</v>
      </c>
      <c r="Q124" s="275"/>
      <c r="R124" s="275"/>
      <c r="S124" s="275"/>
    </row>
    <row r="125" spans="1:19" ht="17.25" thickBot="1">
      <c r="A125" s="122"/>
      <c r="B125" s="123"/>
      <c r="C125" s="72"/>
      <c r="D125" s="123"/>
      <c r="E125" s="72" t="str">
        <f>IF(ISNUMBER(D125), (D125 - $B125) / $B125, "")</f>
        <v/>
      </c>
      <c r="F125" s="140" t="str">
        <f>IF(ISNUMBER(D125), $B145 * E125, "")</f>
        <v/>
      </c>
      <c r="G125" s="38"/>
      <c r="H125" s="72" t="str">
        <f>IF(ISNUMBER(G125), (G125 - $B125) / $B125, "")</f>
        <v/>
      </c>
      <c r="I125" s="201" t="str">
        <f>IF(ISNUMBER(G125), $B145 * H125, "")</f>
        <v/>
      </c>
      <c r="J125" s="123"/>
      <c r="K125" s="72" t="str">
        <f>IF(ISNUMBER(J125), (J125 - $B125) / $B125, "")</f>
        <v/>
      </c>
      <c r="L125" s="140" t="str">
        <f>IF(ISNUMBER(J125), $B145 * K125, "")</f>
        <v/>
      </c>
      <c r="M125" s="38"/>
      <c r="N125" s="72" t="str">
        <f>IF(ISNUMBER(M125), (M125 - $B125) / $B125, "")</f>
        <v/>
      </c>
      <c r="O125" s="140" t="str">
        <f>IF(ISNUMBER(M125), $B145 * N125, "")</f>
        <v/>
      </c>
      <c r="Q125" s="270"/>
      <c r="R125" s="270"/>
      <c r="S125" s="270"/>
    </row>
    <row r="126" spans="1:19" ht="17.25" thickBot="1">
      <c r="A126" s="124"/>
      <c r="B126" s="125"/>
      <c r="C126" s="73"/>
      <c r="D126" s="125"/>
      <c r="E126" s="73" t="str">
        <f t="shared" ref="E126:E129" si="62">IF(ISNUMBER(D126), (D126 - $B126) / $B126, "")</f>
        <v/>
      </c>
      <c r="F126" s="136" t="str">
        <f>IF(ISNUMBER(D126), $B145 * E126, "")</f>
        <v/>
      </c>
      <c r="G126" s="39"/>
      <c r="H126" s="73" t="str">
        <f t="shared" ref="H126:H129" si="63">IF(ISNUMBER(G126), (G126 - $B126) / $B126, "")</f>
        <v/>
      </c>
      <c r="I126" s="202" t="str">
        <f>IF(ISNUMBER(G126), $B145 * H126, "")</f>
        <v/>
      </c>
      <c r="J126" s="125"/>
      <c r="K126" s="73" t="str">
        <f t="shared" ref="K126:K129" si="64">IF(ISNUMBER(J126), (J126 - $B126) / $B126, "")</f>
        <v/>
      </c>
      <c r="L126" s="136" t="str">
        <f>IF(ISNUMBER(J126), $B145 * K126, "")</f>
        <v/>
      </c>
      <c r="M126" s="39"/>
      <c r="N126" s="73" t="str">
        <f t="shared" ref="N126:N129" si="65">IF(ISNUMBER(M126), (M126 - $B126) / $B126, "")</f>
        <v/>
      </c>
      <c r="O126" s="136" t="str">
        <f>IF(ISNUMBER(M126), $B145 * N126, "")</f>
        <v/>
      </c>
      <c r="Q126" s="270"/>
      <c r="R126" s="270"/>
      <c r="S126" s="270"/>
    </row>
    <row r="127" spans="1:19" ht="17.25" thickBot="1">
      <c r="A127" s="124"/>
      <c r="B127" s="125"/>
      <c r="C127" s="73"/>
      <c r="D127" s="125"/>
      <c r="E127" s="73" t="str">
        <f t="shared" si="62"/>
        <v/>
      </c>
      <c r="F127" s="136" t="str">
        <f>IF(ISNUMBER(D127), $B145 * E127, "")</f>
        <v/>
      </c>
      <c r="G127" s="39"/>
      <c r="H127" s="73" t="str">
        <f t="shared" si="63"/>
        <v/>
      </c>
      <c r="I127" s="202" t="str">
        <f>IF(ISNUMBER(G127), $B145 * H127, "")</f>
        <v/>
      </c>
      <c r="J127" s="125"/>
      <c r="K127" s="73" t="str">
        <f t="shared" si="64"/>
        <v/>
      </c>
      <c r="L127" s="136" t="str">
        <f>IF(ISNUMBER(J127), $B145 * K127, "")</f>
        <v/>
      </c>
      <c r="M127" s="39"/>
      <c r="N127" s="73" t="str">
        <f t="shared" si="65"/>
        <v/>
      </c>
      <c r="O127" s="136" t="str">
        <f>IF(ISNUMBER(M127), $B145 * N127, "")</f>
        <v/>
      </c>
      <c r="Q127" s="275"/>
      <c r="R127" s="275"/>
      <c r="S127" s="275"/>
    </row>
    <row r="128" spans="1:19" ht="17.25" thickBot="1">
      <c r="A128" s="124"/>
      <c r="B128" s="125"/>
      <c r="C128" s="73"/>
      <c r="D128" s="125"/>
      <c r="E128" s="73" t="str">
        <f t="shared" si="62"/>
        <v/>
      </c>
      <c r="F128" s="136" t="str">
        <f>IF(ISNUMBER(D128), $B145 * E128, "")</f>
        <v/>
      </c>
      <c r="G128" s="39"/>
      <c r="H128" s="73" t="str">
        <f t="shared" si="63"/>
        <v/>
      </c>
      <c r="I128" s="202" t="str">
        <f>IF(ISNUMBER(G128), $B145 * H128, "")</f>
        <v/>
      </c>
      <c r="J128" s="125"/>
      <c r="K128" s="73" t="str">
        <f t="shared" si="64"/>
        <v/>
      </c>
      <c r="L128" s="136" t="str">
        <f>IF(ISNUMBER(J128), $B145 * K128, "")</f>
        <v/>
      </c>
      <c r="M128" s="39"/>
      <c r="N128" s="73" t="str">
        <f t="shared" si="65"/>
        <v/>
      </c>
      <c r="O128" s="136" t="str">
        <f>IF(ISNUMBER(M128), $B145 * N128, "")</f>
        <v/>
      </c>
      <c r="Q128" s="275"/>
      <c r="R128" s="275"/>
      <c r="S128" s="275"/>
    </row>
    <row r="129" spans="1:19" ht="17.25" thickBot="1">
      <c r="A129" s="126"/>
      <c r="B129" s="127"/>
      <c r="C129" s="74"/>
      <c r="D129" s="127"/>
      <c r="E129" s="74" t="str">
        <f t="shared" si="62"/>
        <v/>
      </c>
      <c r="F129" s="203" t="str">
        <f>IF(ISNUMBER(D129), $B145 * E129, "")</f>
        <v/>
      </c>
      <c r="G129" s="44"/>
      <c r="H129" s="74" t="str">
        <f t="shared" si="63"/>
        <v/>
      </c>
      <c r="I129" s="204" t="str">
        <f>IF(ISNUMBER(G129), $B145 * H129, "")</f>
        <v/>
      </c>
      <c r="J129" s="127"/>
      <c r="K129" s="74" t="str">
        <f t="shared" si="64"/>
        <v/>
      </c>
      <c r="L129" s="203" t="str">
        <f>IF(ISNUMBER(J129), $B145 * K129, "")</f>
        <v/>
      </c>
      <c r="M129" s="44"/>
      <c r="N129" s="74" t="str">
        <f t="shared" si="65"/>
        <v/>
      </c>
      <c r="O129" s="203" t="str">
        <f>IF(ISNUMBER(M129), $B145 * N129, "")</f>
        <v/>
      </c>
      <c r="Q129" s="275"/>
      <c r="R129" s="275"/>
      <c r="S129" s="275"/>
    </row>
    <row r="130" spans="1:19" ht="17.25" thickBot="1">
      <c r="A130" s="124"/>
      <c r="B130" s="128"/>
      <c r="C130" s="76"/>
      <c r="D130" s="128"/>
      <c r="E130" s="76" t="str">
        <f>IF(ISNUMBER(D130), (D130 - $B130) / $B130, "")</f>
        <v/>
      </c>
      <c r="F130" s="205" t="str">
        <f>IF(ISNUMBER(D130), $B145 * E130, "")</f>
        <v/>
      </c>
      <c r="G130" s="45"/>
      <c r="H130" s="76" t="str">
        <f>IF(ISNUMBER(G130), (G130 - $B130) / $B130, "")</f>
        <v/>
      </c>
      <c r="I130" s="206" t="str">
        <f>IF(ISNUMBER(G130), $B145 * H130, "")</f>
        <v/>
      </c>
      <c r="J130" s="128"/>
      <c r="K130" s="76" t="str">
        <f>IF(ISNUMBER(J130), (J130 - $B130) / $B130, "")</f>
        <v/>
      </c>
      <c r="L130" s="205" t="str">
        <f>IF(ISNUMBER(J130), $B145 * K130, "")</f>
        <v/>
      </c>
      <c r="M130" s="45"/>
      <c r="N130" s="76" t="str">
        <f>IF(ISNUMBER(M130), (M130 - $B130) / $B130, "")</f>
        <v/>
      </c>
      <c r="O130" s="205" t="str">
        <f>IF(ISNUMBER(M130), $B145 * N130, "")</f>
        <v/>
      </c>
      <c r="Q130" s="275"/>
      <c r="R130" s="275"/>
      <c r="S130" s="275"/>
    </row>
    <row r="131" spans="1:19" ht="17.25" thickBot="1">
      <c r="A131" s="124"/>
      <c r="B131" s="125"/>
      <c r="C131" s="73"/>
      <c r="D131" s="125"/>
      <c r="E131" s="73" t="str">
        <f t="shared" ref="E131:E134" si="66">IF(ISNUMBER(D131), (D131 - $B131) / $B131, "")</f>
        <v/>
      </c>
      <c r="F131" s="136" t="str">
        <f>IF(ISNUMBER(D131), $B145 * E131, "")</f>
        <v/>
      </c>
      <c r="G131" s="39"/>
      <c r="H131" s="73" t="str">
        <f t="shared" ref="H131:H134" si="67">IF(ISNUMBER(G131), (G131 - $B131) / $B131, "")</f>
        <v/>
      </c>
      <c r="I131" s="202" t="str">
        <f>IF(ISNUMBER(G131), $B145 * H131, "")</f>
        <v/>
      </c>
      <c r="J131" s="125"/>
      <c r="K131" s="73" t="str">
        <f t="shared" ref="K131:K134" si="68">IF(ISNUMBER(J131), (J131 - $B131) / $B131, "")</f>
        <v/>
      </c>
      <c r="L131" s="136" t="str">
        <f>IF(ISNUMBER(J131), $B145 * K131, "")</f>
        <v/>
      </c>
      <c r="M131" s="39"/>
      <c r="N131" s="73" t="str">
        <f t="shared" ref="N131:N134" si="69">IF(ISNUMBER(M131), (M131 - $B131) / $B131, "")</f>
        <v/>
      </c>
      <c r="O131" s="136" t="str">
        <f>IF(ISNUMBER(M131), $B145 * N131, "")</f>
        <v/>
      </c>
      <c r="Q131" s="275"/>
      <c r="R131" s="275"/>
      <c r="S131" s="275"/>
    </row>
    <row r="132" spans="1:19" ht="17.25" thickBot="1">
      <c r="A132" s="124"/>
      <c r="B132" s="125"/>
      <c r="C132" s="73"/>
      <c r="D132" s="125"/>
      <c r="E132" s="73" t="str">
        <f t="shared" si="66"/>
        <v/>
      </c>
      <c r="F132" s="136" t="str">
        <f>IF(ISNUMBER(D132), $B145 * E132, "")</f>
        <v/>
      </c>
      <c r="G132" s="39"/>
      <c r="H132" s="73" t="str">
        <f t="shared" si="67"/>
        <v/>
      </c>
      <c r="I132" s="202" t="str">
        <f>IF(ISNUMBER(G132), $B145 * H132, "")</f>
        <v/>
      </c>
      <c r="J132" s="125"/>
      <c r="K132" s="73" t="str">
        <f t="shared" si="68"/>
        <v/>
      </c>
      <c r="L132" s="136" t="str">
        <f>IF(ISNUMBER(J132), $B145 * K132, "")</f>
        <v/>
      </c>
      <c r="M132" s="39"/>
      <c r="N132" s="73" t="str">
        <f t="shared" si="69"/>
        <v/>
      </c>
      <c r="O132" s="136" t="str">
        <f>IF(ISNUMBER(M132), $B145 * N132, "")</f>
        <v/>
      </c>
      <c r="Q132" s="275"/>
      <c r="R132" s="275"/>
      <c r="S132" s="275"/>
    </row>
    <row r="133" spans="1:19" ht="17.25" thickBot="1">
      <c r="A133" s="124"/>
      <c r="B133" s="125"/>
      <c r="C133" s="73"/>
      <c r="D133" s="125"/>
      <c r="E133" s="73" t="str">
        <f t="shared" si="66"/>
        <v/>
      </c>
      <c r="F133" s="136" t="str">
        <f>IF(ISNUMBER(D133), $B145 * E133, "")</f>
        <v/>
      </c>
      <c r="G133" s="39"/>
      <c r="H133" s="73" t="str">
        <f t="shared" si="67"/>
        <v/>
      </c>
      <c r="I133" s="202" t="str">
        <f>IF(ISNUMBER(G133), $B145 * H133, "")</f>
        <v/>
      </c>
      <c r="J133" s="125"/>
      <c r="K133" s="73" t="str">
        <f t="shared" si="68"/>
        <v/>
      </c>
      <c r="L133" s="136" t="str">
        <f>IF(ISNUMBER(J133), $B145 * K133, "")</f>
        <v/>
      </c>
      <c r="M133" s="39"/>
      <c r="N133" s="73" t="str">
        <f t="shared" si="69"/>
        <v/>
      </c>
      <c r="O133" s="136" t="str">
        <f>IF(ISNUMBER(M133), $B145 * N133, "")</f>
        <v/>
      </c>
      <c r="Q133" s="33"/>
      <c r="R133" s="33"/>
    </row>
    <row r="134" spans="1:19" ht="17.25" thickBot="1">
      <c r="A134" s="129"/>
      <c r="B134" s="130"/>
      <c r="C134" s="75"/>
      <c r="D134" s="130"/>
      <c r="E134" s="75" t="str">
        <f t="shared" si="66"/>
        <v/>
      </c>
      <c r="F134" s="137" t="str">
        <f>IF(ISNUMBER(D134), $B145 * E134, "")</f>
        <v/>
      </c>
      <c r="G134" s="37"/>
      <c r="H134" s="75" t="str">
        <f t="shared" si="67"/>
        <v/>
      </c>
      <c r="I134" s="207" t="str">
        <f>IF(ISNUMBER(G134), $B145 * H134, "")</f>
        <v/>
      </c>
      <c r="J134" s="130"/>
      <c r="K134" s="75" t="str">
        <f t="shared" si="68"/>
        <v/>
      </c>
      <c r="L134" s="137" t="str">
        <f>IF(ISNUMBER(J134), $B145 * K134, "")</f>
        <v/>
      </c>
      <c r="M134" s="37"/>
      <c r="N134" s="75" t="str">
        <f t="shared" si="69"/>
        <v/>
      </c>
      <c r="O134" s="137" t="str">
        <f>IF(ISNUMBER(M134), $B145 * N134, "")</f>
        <v/>
      </c>
      <c r="Q134" s="284"/>
      <c r="R134" s="285"/>
      <c r="S134" s="286"/>
    </row>
    <row r="135" spans="1:19">
      <c r="A135" s="122"/>
      <c r="B135" s="123"/>
      <c r="C135" s="72"/>
      <c r="D135" s="123"/>
      <c r="E135" s="72" t="str">
        <f>IF(ISNUMBER(D135), (D135 - $B135) / $B135, "")</f>
        <v/>
      </c>
      <c r="F135" s="140" t="str">
        <f>IF(ISNUMBER(D135), $B145 * E135, "")</f>
        <v/>
      </c>
      <c r="G135" s="38"/>
      <c r="H135" s="72" t="str">
        <f>IF(ISNUMBER(G135), (G135 - $B135) / $B135, "")</f>
        <v/>
      </c>
      <c r="I135" s="201" t="str">
        <f>IF(ISNUMBER(G135), $B145 * H135, "")</f>
        <v/>
      </c>
      <c r="J135" s="123"/>
      <c r="K135" s="72" t="str">
        <f>IF(ISNUMBER(J135), (J135 - $B135) / $B135, "")</f>
        <v/>
      </c>
      <c r="L135" s="140" t="str">
        <f>IF(ISNUMBER(J135), $B145 * K135, "")</f>
        <v/>
      </c>
      <c r="M135" s="38"/>
      <c r="N135" s="72" t="str">
        <f>IF(ISNUMBER(M135), (M135 - $B135) / $B135, "")</f>
        <v/>
      </c>
      <c r="O135" s="140" t="str">
        <f>IF(ISNUMBER(M135), $B145 * N135, "")</f>
        <v/>
      </c>
      <c r="Q135" s="287"/>
      <c r="R135" s="288"/>
      <c r="S135" s="289"/>
    </row>
    <row r="136" spans="1:19" ht="17.25" thickBot="1">
      <c r="A136" s="124"/>
      <c r="B136" s="125"/>
      <c r="C136" s="73"/>
      <c r="D136" s="125"/>
      <c r="E136" s="73" t="str">
        <f t="shared" ref="E136:E139" si="70">IF(ISNUMBER(D136), (D136 - $B136) / $B136, "")</f>
        <v/>
      </c>
      <c r="F136" s="136" t="str">
        <f>IF(ISNUMBER(D136), $B145 * E136, "")</f>
        <v/>
      </c>
      <c r="G136" s="39"/>
      <c r="H136" s="73" t="str">
        <f t="shared" ref="H136:H139" si="71">IF(ISNUMBER(G136), (G136 - $B136) / $B136, "")</f>
        <v/>
      </c>
      <c r="I136" s="202" t="str">
        <f>IF(ISNUMBER(G136), $B145 * H136, "")</f>
        <v/>
      </c>
      <c r="J136" s="125"/>
      <c r="K136" s="73" t="str">
        <f t="shared" ref="K136:K139" si="72">IF(ISNUMBER(J136), (J136 - $B136) / $B136, "")</f>
        <v/>
      </c>
      <c r="L136" s="136" t="str">
        <f>IF(ISNUMBER(J136), $B145 * K136, "")</f>
        <v/>
      </c>
      <c r="M136" s="39"/>
      <c r="N136" s="73" t="str">
        <f t="shared" ref="N136:N139" si="73">IF(ISNUMBER(M136), (M136 - $B136) / $B136, "")</f>
        <v/>
      </c>
      <c r="O136" s="136" t="str">
        <f>IF(ISNUMBER(M136), $B145 * N136, "")</f>
        <v/>
      </c>
      <c r="Q136" s="290"/>
      <c r="R136" s="291"/>
      <c r="S136" s="292"/>
    </row>
    <row r="137" spans="1:19" ht="17.25" thickBot="1">
      <c r="A137" s="124"/>
      <c r="B137" s="125"/>
      <c r="C137" s="73"/>
      <c r="D137" s="125"/>
      <c r="E137" s="73" t="str">
        <f t="shared" si="70"/>
        <v/>
      </c>
      <c r="F137" s="136" t="str">
        <f>IF(ISNUMBER(D137), $B145 * E137, "")</f>
        <v/>
      </c>
      <c r="G137" s="39"/>
      <c r="H137" s="73" t="str">
        <f t="shared" si="71"/>
        <v/>
      </c>
      <c r="I137" s="202" t="str">
        <f>IF(ISNUMBER(G137), $B145 * H137, "")</f>
        <v/>
      </c>
      <c r="J137" s="125"/>
      <c r="K137" s="73" t="str">
        <f t="shared" si="72"/>
        <v/>
      </c>
      <c r="L137" s="136" t="str">
        <f>IF(ISNUMBER(J137), $B145 * K137, "")</f>
        <v/>
      </c>
      <c r="M137" s="39"/>
      <c r="N137" s="73" t="str">
        <f t="shared" si="73"/>
        <v/>
      </c>
      <c r="O137" s="136" t="str">
        <f>IF(ISNUMBER(M137), $B145 * N137, "")</f>
        <v/>
      </c>
      <c r="Q137" s="275"/>
      <c r="R137" s="275"/>
      <c r="S137" s="275"/>
    </row>
    <row r="138" spans="1:19" ht="17.25" thickBot="1">
      <c r="A138" s="124"/>
      <c r="B138" s="125"/>
      <c r="C138" s="73"/>
      <c r="D138" s="125"/>
      <c r="E138" s="73" t="str">
        <f t="shared" si="70"/>
        <v/>
      </c>
      <c r="F138" s="136" t="str">
        <f>IF(ISNUMBER(D138), $B145 * E138, "")</f>
        <v/>
      </c>
      <c r="G138" s="39"/>
      <c r="H138" s="73" t="str">
        <f t="shared" si="71"/>
        <v/>
      </c>
      <c r="I138" s="202" t="str">
        <f>IF(ISNUMBER(G138), $B145 * H138, "")</f>
        <v/>
      </c>
      <c r="J138" s="125"/>
      <c r="K138" s="73" t="str">
        <f t="shared" si="72"/>
        <v/>
      </c>
      <c r="L138" s="136" t="str">
        <f>IF(ISNUMBER(J138), $B145 * K138, "")</f>
        <v/>
      </c>
      <c r="M138" s="39"/>
      <c r="N138" s="73" t="str">
        <f t="shared" si="73"/>
        <v/>
      </c>
      <c r="O138" s="136" t="str">
        <f>IF(ISNUMBER(M138), $B145 * N138, "")</f>
        <v/>
      </c>
      <c r="Q138" s="270"/>
      <c r="R138" s="270"/>
      <c r="S138" s="270"/>
    </row>
    <row r="139" spans="1:19" ht="17.25" thickBot="1">
      <c r="A139" s="126"/>
      <c r="B139" s="127"/>
      <c r="C139" s="74"/>
      <c r="D139" s="127"/>
      <c r="E139" s="74" t="str">
        <f t="shared" si="70"/>
        <v/>
      </c>
      <c r="F139" s="203" t="str">
        <f>IF(ISNUMBER(D139), $B145 * E139, "")</f>
        <v/>
      </c>
      <c r="G139" s="44"/>
      <c r="H139" s="74" t="str">
        <f t="shared" si="71"/>
        <v/>
      </c>
      <c r="I139" s="204" t="str">
        <f>IF(ISNUMBER(G139), $B145 * H139, "")</f>
        <v/>
      </c>
      <c r="J139" s="127"/>
      <c r="K139" s="74" t="str">
        <f t="shared" si="72"/>
        <v/>
      </c>
      <c r="L139" s="203" t="str">
        <f>IF(ISNUMBER(J139), $B145 * K139, "")</f>
        <v/>
      </c>
      <c r="M139" s="44"/>
      <c r="N139" s="74" t="str">
        <f t="shared" si="73"/>
        <v/>
      </c>
      <c r="O139" s="203" t="str">
        <f>IF(ISNUMBER(M139), $B145 * N139, "")</f>
        <v/>
      </c>
      <c r="Q139" s="270"/>
      <c r="R139" s="270"/>
      <c r="S139" s="270"/>
    </row>
    <row r="140" spans="1:19" ht="17.25" thickBot="1">
      <c r="A140" s="124"/>
      <c r="B140" s="128"/>
      <c r="C140" s="76"/>
      <c r="D140" s="128"/>
      <c r="E140" s="76" t="str">
        <f>IF(ISNUMBER(D140), (D140 - $B140) / $B140, "")</f>
        <v/>
      </c>
      <c r="F140" s="205" t="str">
        <f>IF(ISNUMBER(D140), $B145 * E140, "")</f>
        <v/>
      </c>
      <c r="G140" s="45"/>
      <c r="H140" s="76" t="str">
        <f>IF(ISNUMBER(G140), (G140 - $B140) / $B140, "")</f>
        <v/>
      </c>
      <c r="I140" s="206" t="str">
        <f>IF(ISNUMBER(G140), $B145 * H140, "")</f>
        <v/>
      </c>
      <c r="J140" s="128"/>
      <c r="K140" s="76" t="str">
        <f>IF(ISNUMBER(J140), (J140 - $B140) / $B140, "")</f>
        <v/>
      </c>
      <c r="L140" s="205" t="str">
        <f>IF(ISNUMBER(J140), $B145 * K140, "")</f>
        <v/>
      </c>
      <c r="M140" s="45"/>
      <c r="N140" s="76" t="str">
        <f>IF(ISNUMBER(M140), (M140 - $B140) / $B140, "")</f>
        <v/>
      </c>
      <c r="O140" s="205" t="str">
        <f>IF(ISNUMBER(M140), $B145 * N140, "")</f>
        <v/>
      </c>
      <c r="Q140" s="275"/>
      <c r="R140" s="275"/>
      <c r="S140" s="275"/>
    </row>
    <row r="141" spans="1:19" ht="17.25" thickBot="1">
      <c r="A141" s="124"/>
      <c r="B141" s="125"/>
      <c r="C141" s="73"/>
      <c r="D141" s="125"/>
      <c r="E141" s="73" t="str">
        <f t="shared" ref="E141:E144" si="74">IF(ISNUMBER(D141), (D141 - $B141) / $B141, "")</f>
        <v/>
      </c>
      <c r="F141" s="136" t="str">
        <f>IF(ISNUMBER(D141), $B145 * E141, "")</f>
        <v/>
      </c>
      <c r="G141" s="39"/>
      <c r="H141" s="73" t="str">
        <f t="shared" ref="H141:H144" si="75">IF(ISNUMBER(G141), (G141 - $B141) / $B141, "")</f>
        <v/>
      </c>
      <c r="I141" s="202" t="str">
        <f>IF(ISNUMBER(G141), $B145 * H141, "")</f>
        <v/>
      </c>
      <c r="J141" s="125"/>
      <c r="K141" s="73" t="str">
        <f t="shared" ref="K141:K144" si="76">IF(ISNUMBER(J141), (J141 - $B141) / $B141, "")</f>
        <v/>
      </c>
      <c r="L141" s="136" t="str">
        <f>IF(ISNUMBER(J141), $B145 * K141, "")</f>
        <v/>
      </c>
      <c r="M141" s="39"/>
      <c r="N141" s="73" t="str">
        <f t="shared" ref="N141:N144" si="77">IF(ISNUMBER(M141), (M141 - $B141) / $B141, "")</f>
        <v/>
      </c>
      <c r="O141" s="136" t="str">
        <f>IF(ISNUMBER(M141), $B145 * N141, "")</f>
        <v/>
      </c>
      <c r="Q141" s="275"/>
      <c r="R141" s="275"/>
      <c r="S141" s="275"/>
    </row>
    <row r="142" spans="1:19" ht="17.25" thickBot="1">
      <c r="A142" s="124"/>
      <c r="B142" s="125"/>
      <c r="C142" s="73"/>
      <c r="D142" s="125"/>
      <c r="E142" s="73" t="str">
        <f t="shared" si="74"/>
        <v/>
      </c>
      <c r="F142" s="136" t="str">
        <f>IF(ISNUMBER(D142), $B145 * E142, "")</f>
        <v/>
      </c>
      <c r="G142" s="39"/>
      <c r="H142" s="73" t="str">
        <f t="shared" si="75"/>
        <v/>
      </c>
      <c r="I142" s="202" t="str">
        <f>IF(ISNUMBER(G142), $B145 * H142, "")</f>
        <v/>
      </c>
      <c r="J142" s="125"/>
      <c r="K142" s="73" t="str">
        <f t="shared" si="76"/>
        <v/>
      </c>
      <c r="L142" s="136" t="str">
        <f>IF(ISNUMBER(J142), $B145 * K142, "")</f>
        <v/>
      </c>
      <c r="M142" s="39"/>
      <c r="N142" s="73" t="str">
        <f t="shared" si="77"/>
        <v/>
      </c>
      <c r="O142" s="136" t="str">
        <f>IF(ISNUMBER(M142), $B145 * N142, "")</f>
        <v/>
      </c>
      <c r="Q142" s="275"/>
      <c r="R142" s="275"/>
      <c r="S142" s="275"/>
    </row>
    <row r="143" spans="1:19">
      <c r="A143" s="124"/>
      <c r="B143" s="125"/>
      <c r="C143" s="73"/>
      <c r="D143" s="125"/>
      <c r="E143" s="73" t="str">
        <f t="shared" si="74"/>
        <v/>
      </c>
      <c r="F143" s="136" t="str">
        <f>IF(ISNUMBER(D143), $B145 * E143, "")</f>
        <v/>
      </c>
      <c r="G143" s="39"/>
      <c r="H143" s="73" t="str">
        <f t="shared" si="75"/>
        <v/>
      </c>
      <c r="I143" s="202" t="str">
        <f>IF(ISNUMBER(G143), $B145 * H143, "")</f>
        <v/>
      </c>
      <c r="J143" s="125"/>
      <c r="K143" s="73" t="str">
        <f t="shared" si="76"/>
        <v/>
      </c>
      <c r="L143" s="136" t="str">
        <f>IF(ISNUMBER(J143), $B145 * K143, "")</f>
        <v/>
      </c>
      <c r="M143" s="39"/>
      <c r="N143" s="73" t="str">
        <f t="shared" si="77"/>
        <v/>
      </c>
      <c r="O143" s="136" t="str">
        <f>IF(ISNUMBER(M143), $B145 * N143, "")</f>
        <v/>
      </c>
      <c r="Q143" s="297"/>
      <c r="R143" s="298"/>
      <c r="S143" s="299"/>
    </row>
    <row r="144" spans="1:19" ht="17.25" thickBot="1">
      <c r="A144" s="129"/>
      <c r="B144" s="130"/>
      <c r="C144" s="75"/>
      <c r="D144" s="130"/>
      <c r="E144" s="75" t="str">
        <f t="shared" si="74"/>
        <v/>
      </c>
      <c r="F144" s="137" t="str">
        <f>IF(ISNUMBER(D144), $B145 * E144, "")</f>
        <v/>
      </c>
      <c r="G144" s="37"/>
      <c r="H144" s="75" t="str">
        <f t="shared" si="75"/>
        <v/>
      </c>
      <c r="I144" s="207" t="str">
        <f>IF(ISNUMBER(G144), $B145 * H144, "")</f>
        <v/>
      </c>
      <c r="J144" s="130"/>
      <c r="K144" s="75" t="str">
        <f t="shared" si="76"/>
        <v/>
      </c>
      <c r="L144" s="137" t="str">
        <f>IF(ISNUMBER(J144), $B145 * K144, "")</f>
        <v/>
      </c>
      <c r="M144" s="37"/>
      <c r="N144" s="75" t="str">
        <f t="shared" si="77"/>
        <v/>
      </c>
      <c r="O144" s="137" t="str">
        <f>IF(ISNUMBER(M144), $B145 * N144, "")</f>
        <v/>
      </c>
      <c r="Q144" s="300"/>
      <c r="R144" s="301"/>
      <c r="S144" s="302"/>
    </row>
    <row r="145" spans="1:19" ht="17.25" thickBot="1">
      <c r="A145" s="131" t="s">
        <v>301</v>
      </c>
      <c r="B145" s="308">
        <f>$B$37</f>
        <v>150000</v>
      </c>
      <c r="C145" s="309"/>
      <c r="D145" s="131" t="s">
        <v>302</v>
      </c>
      <c r="E145" s="195">
        <f>IF(COUNT(E125:E144), SUM(E125:E144) / COUNT(E125:E144), 0)</f>
        <v>0</v>
      </c>
      <c r="F145" s="208">
        <f>SUM(F125:F144)</f>
        <v>0</v>
      </c>
      <c r="G145" s="131" t="s">
        <v>302</v>
      </c>
      <c r="H145" s="195">
        <f>IF(COUNT(H125:H144), SUM(H125:H144) / COUNT(H125:H144), 0)</f>
        <v>0</v>
      </c>
      <c r="I145" s="208">
        <f>SUM(I125:I144)</f>
        <v>0</v>
      </c>
      <c r="J145" s="131" t="s">
        <v>302</v>
      </c>
      <c r="K145" s="195">
        <f>IF(COUNT(K125:K144), SUM(K125:K144) / COUNT(K125:K144), 0)</f>
        <v>0</v>
      </c>
      <c r="L145" s="208">
        <f>SUM(L125:L144)</f>
        <v>0</v>
      </c>
      <c r="M145" s="131" t="s">
        <v>302</v>
      </c>
      <c r="N145" s="195">
        <f>IF(COUNT(N125:N144), SUM(N125:N144) / COUNT(N125:N144), 0)</f>
        <v>0</v>
      </c>
      <c r="O145" s="208">
        <f>SUM(O125:O144)</f>
        <v>0</v>
      </c>
      <c r="Q145" s="303"/>
      <c r="R145" s="304"/>
      <c r="S145" s="305"/>
    </row>
    <row r="147" spans="1:19" ht="17.25" thickBot="1"/>
    <row r="148" spans="1:19" ht="17.25" thickBot="1">
      <c r="A148" s="249" t="s">
        <v>289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1"/>
      <c r="Q148" s="270"/>
      <c r="R148" s="270"/>
      <c r="S148" s="270"/>
    </row>
    <row r="149" spans="1:19" ht="17.25" thickBot="1">
      <c r="A149" s="186" t="s">
        <v>298</v>
      </c>
      <c r="B149" s="249" t="s">
        <v>49</v>
      </c>
      <c r="C149" s="251"/>
      <c r="D149" s="249" t="s">
        <v>58</v>
      </c>
      <c r="E149" s="250"/>
      <c r="F149" s="251"/>
      <c r="G149" s="276">
        <f>_xlfn.IFNA(VLOOKUP(B149, 현재가테이블!$B$2:$D$200, 2, FALSE), "-")</f>
        <v>60874000</v>
      </c>
      <c r="H149" s="277"/>
      <c r="I149" s="278"/>
      <c r="J149" s="249" t="s">
        <v>59</v>
      </c>
      <c r="K149" s="250"/>
      <c r="L149" s="251"/>
      <c r="M149" s="279">
        <f>_xlfn.IFNA(VLOOKUP(B149, 현재가테이블!$B$2:$D$200, 3, FALSE), "-")</f>
        <v>-1.4936000099999999E-2</v>
      </c>
      <c r="N149" s="280"/>
      <c r="O149" s="281"/>
      <c r="Q149" s="270"/>
      <c r="R149" s="270"/>
      <c r="S149" s="270"/>
    </row>
    <row r="150" spans="1:19" ht="17.25" thickBot="1">
      <c r="A150" s="310" t="s">
        <v>55</v>
      </c>
      <c r="B150" s="312" t="str">
        <f>TEXT($G$1, "[$-ko-KR]yyyy-mm-dd(ddd) ") &amp; "오전 00:00"</f>
        <v>2021-05-01(토) 오전 00:00</v>
      </c>
      <c r="C150" s="313"/>
      <c r="D150" s="249" t="str">
        <f>TEXT($G$1, "[$-ko-KR]yyyy-mm-dd(ddd) ") &amp; "오후 14:00"</f>
        <v>2021-05-01(토) 오후 14:00</v>
      </c>
      <c r="E150" s="250"/>
      <c r="F150" s="251"/>
      <c r="G150" s="249" t="str">
        <f>TEXT($G$1, "[$-ko-KR]yyyy-mm-dd(ddd) ") &amp; "오후 19:00"</f>
        <v>2021-05-01(토) 오후 19:00</v>
      </c>
      <c r="H150" s="250"/>
      <c r="I150" s="251"/>
      <c r="J150" s="249" t="str">
        <f>TEXT($G$1, "[$-ko-KR]yyyy-mm-dd(ddd) ") &amp; "오후 21:00"</f>
        <v>2021-05-01(토) 오후 21:00</v>
      </c>
      <c r="K150" s="250"/>
      <c r="L150" s="251"/>
      <c r="M150" s="249" t="str">
        <f>TEXT($G$1+1, "[$-ko-KR]yyyy-mm-dd(ddd) ") &amp; "오전 00:00"</f>
        <v>2021-05-02(일) 오전 00:00</v>
      </c>
      <c r="N150" s="250"/>
      <c r="O150" s="251"/>
      <c r="Q150" s="270"/>
      <c r="R150" s="270"/>
      <c r="S150" s="270"/>
    </row>
    <row r="151" spans="1:19" ht="17.25" thickBot="1">
      <c r="A151" s="311"/>
      <c r="B151" s="120" t="s">
        <v>58</v>
      </c>
      <c r="C151" s="121" t="s">
        <v>59</v>
      </c>
      <c r="D151" s="120" t="s">
        <v>58</v>
      </c>
      <c r="E151" s="121" t="s">
        <v>299</v>
      </c>
      <c r="F151" s="196" t="s">
        <v>300</v>
      </c>
      <c r="G151" s="186" t="s">
        <v>58</v>
      </c>
      <c r="H151" s="187" t="s">
        <v>299</v>
      </c>
      <c r="I151" s="188" t="s">
        <v>300</v>
      </c>
      <c r="J151" s="121" t="s">
        <v>58</v>
      </c>
      <c r="K151" s="121" t="s">
        <v>299</v>
      </c>
      <c r="L151" s="190" t="s">
        <v>300</v>
      </c>
      <c r="M151" s="120" t="s">
        <v>58</v>
      </c>
      <c r="N151" s="121" t="s">
        <v>299</v>
      </c>
      <c r="O151" s="191" t="s">
        <v>300</v>
      </c>
      <c r="Q151" s="275"/>
      <c r="R151" s="275"/>
      <c r="S151" s="275"/>
    </row>
    <row r="152" spans="1:19" ht="17.25" thickBot="1">
      <c r="A152" s="122"/>
      <c r="B152" s="123"/>
      <c r="C152" s="72"/>
      <c r="D152" s="123"/>
      <c r="E152" s="72" t="str">
        <f>IF(ISNUMBER(D152), (D152 - $B152) / $B152, "")</f>
        <v/>
      </c>
      <c r="F152" s="140" t="str">
        <f>IF(ISNUMBER(D152), $B172 * E152, "")</f>
        <v/>
      </c>
      <c r="G152" s="38"/>
      <c r="H152" s="72" t="str">
        <f>IF(ISNUMBER(G152), (G152 - $B152) / $B152, "")</f>
        <v/>
      </c>
      <c r="I152" s="201" t="str">
        <f>IF(ISNUMBER(G152), $B172 * H152, "")</f>
        <v/>
      </c>
      <c r="J152" s="123"/>
      <c r="K152" s="72" t="str">
        <f>IF(ISNUMBER(J152), (J152 - $B152) / $B152, "")</f>
        <v/>
      </c>
      <c r="L152" s="140" t="str">
        <f>IF(ISNUMBER(J152), $B172 * K152, "")</f>
        <v/>
      </c>
      <c r="M152" s="38"/>
      <c r="N152" s="72" t="str">
        <f>IF(ISNUMBER(M152), (M152 - $B152) / $B152, "")</f>
        <v/>
      </c>
      <c r="O152" s="140" t="str">
        <f>IF(ISNUMBER(M152), $B172 * N152, "")</f>
        <v/>
      </c>
      <c r="Q152" s="270"/>
      <c r="R152" s="270"/>
      <c r="S152" s="270"/>
    </row>
    <row r="153" spans="1:19" ht="17.25" thickBot="1">
      <c r="A153" s="124"/>
      <c r="B153" s="125"/>
      <c r="C153" s="73"/>
      <c r="D153" s="125"/>
      <c r="E153" s="73" t="str">
        <f t="shared" ref="E153:E156" si="78">IF(ISNUMBER(D153), (D153 - $B153) / $B153, "")</f>
        <v/>
      </c>
      <c r="F153" s="136" t="str">
        <f>IF(ISNUMBER(D153), $B172 * E153, "")</f>
        <v/>
      </c>
      <c r="G153" s="39"/>
      <c r="H153" s="73" t="str">
        <f t="shared" ref="H153:H156" si="79">IF(ISNUMBER(G153), (G153 - $B153) / $B153, "")</f>
        <v/>
      </c>
      <c r="I153" s="202" t="str">
        <f>IF(ISNUMBER(G153), $B172 * H153, "")</f>
        <v/>
      </c>
      <c r="J153" s="125"/>
      <c r="K153" s="73" t="str">
        <f t="shared" ref="K153:K156" si="80">IF(ISNUMBER(J153), (J153 - $B153) / $B153, "")</f>
        <v/>
      </c>
      <c r="L153" s="136" t="str">
        <f>IF(ISNUMBER(J153), $B172 * K153, "")</f>
        <v/>
      </c>
      <c r="M153" s="39"/>
      <c r="N153" s="73" t="str">
        <f t="shared" ref="N153:N156" si="81">IF(ISNUMBER(M153), (M153 - $B153) / $B153, "")</f>
        <v/>
      </c>
      <c r="O153" s="136" t="str">
        <f>IF(ISNUMBER(M153), $B172 * N153, "")</f>
        <v/>
      </c>
      <c r="Q153" s="270"/>
      <c r="R153" s="270"/>
      <c r="S153" s="270"/>
    </row>
    <row r="154" spans="1:19" ht="17.25" thickBot="1">
      <c r="A154" s="124"/>
      <c r="B154" s="125"/>
      <c r="C154" s="73"/>
      <c r="D154" s="125"/>
      <c r="E154" s="73" t="str">
        <f t="shared" si="78"/>
        <v/>
      </c>
      <c r="F154" s="136" t="str">
        <f>IF(ISNUMBER(D154), $B172 * E154, "")</f>
        <v/>
      </c>
      <c r="G154" s="39"/>
      <c r="H154" s="73" t="str">
        <f t="shared" si="79"/>
        <v/>
      </c>
      <c r="I154" s="202" t="str">
        <f>IF(ISNUMBER(G154), $B172 * H154, "")</f>
        <v/>
      </c>
      <c r="J154" s="125"/>
      <c r="K154" s="73" t="str">
        <f t="shared" si="80"/>
        <v/>
      </c>
      <c r="L154" s="136" t="str">
        <f>IF(ISNUMBER(J154), $B172 * K154, "")</f>
        <v/>
      </c>
      <c r="M154" s="39"/>
      <c r="N154" s="73" t="str">
        <f t="shared" si="81"/>
        <v/>
      </c>
      <c r="O154" s="136" t="str">
        <f>IF(ISNUMBER(M154), $B172 * N154, "")</f>
        <v/>
      </c>
      <c r="Q154" s="275"/>
      <c r="R154" s="275"/>
      <c r="S154" s="275"/>
    </row>
    <row r="155" spans="1:19" ht="17.25" thickBot="1">
      <c r="A155" s="124"/>
      <c r="B155" s="125"/>
      <c r="C155" s="73"/>
      <c r="D155" s="125"/>
      <c r="E155" s="73" t="str">
        <f t="shared" si="78"/>
        <v/>
      </c>
      <c r="F155" s="136" t="str">
        <f>IF(ISNUMBER(D155), $B172 * E155, "")</f>
        <v/>
      </c>
      <c r="G155" s="39"/>
      <c r="H155" s="73" t="str">
        <f t="shared" si="79"/>
        <v/>
      </c>
      <c r="I155" s="202" t="str">
        <f>IF(ISNUMBER(G155), $B172 * H155, "")</f>
        <v/>
      </c>
      <c r="J155" s="125"/>
      <c r="K155" s="73" t="str">
        <f t="shared" si="80"/>
        <v/>
      </c>
      <c r="L155" s="136" t="str">
        <f>IF(ISNUMBER(J155), $B172 * K155, "")</f>
        <v/>
      </c>
      <c r="M155" s="39"/>
      <c r="N155" s="73" t="str">
        <f t="shared" si="81"/>
        <v/>
      </c>
      <c r="O155" s="136" t="str">
        <f>IF(ISNUMBER(M155), $B172 * N155, "")</f>
        <v/>
      </c>
      <c r="Q155" s="275"/>
      <c r="R155" s="275"/>
      <c r="S155" s="275"/>
    </row>
    <row r="156" spans="1:19" ht="17.25" thickBot="1">
      <c r="A156" s="126"/>
      <c r="B156" s="127"/>
      <c r="C156" s="74"/>
      <c r="D156" s="127"/>
      <c r="E156" s="74" t="str">
        <f t="shared" si="78"/>
        <v/>
      </c>
      <c r="F156" s="203" t="str">
        <f>IF(ISNUMBER(D156), $B172 * E156, "")</f>
        <v/>
      </c>
      <c r="G156" s="44"/>
      <c r="H156" s="74" t="str">
        <f t="shared" si="79"/>
        <v/>
      </c>
      <c r="I156" s="204" t="str">
        <f>IF(ISNUMBER(G156), $B172 * H156, "")</f>
        <v/>
      </c>
      <c r="J156" s="127"/>
      <c r="K156" s="74" t="str">
        <f t="shared" si="80"/>
        <v/>
      </c>
      <c r="L156" s="203" t="str">
        <f>IF(ISNUMBER(J156), $B172 * K156, "")</f>
        <v/>
      </c>
      <c r="M156" s="44"/>
      <c r="N156" s="74" t="str">
        <f t="shared" si="81"/>
        <v/>
      </c>
      <c r="O156" s="203" t="str">
        <f>IF(ISNUMBER(M156), $B172 * N156, "")</f>
        <v/>
      </c>
      <c r="Q156" s="275"/>
      <c r="R156" s="275"/>
      <c r="S156" s="275"/>
    </row>
    <row r="157" spans="1:19" ht="17.25" thickBot="1">
      <c r="A157" s="124"/>
      <c r="B157" s="128"/>
      <c r="C157" s="76"/>
      <c r="D157" s="128"/>
      <c r="E157" s="76" t="str">
        <f>IF(ISNUMBER(D157), (D157 - $B157) / $B157, "")</f>
        <v/>
      </c>
      <c r="F157" s="205" t="str">
        <f>IF(ISNUMBER(D157), $B172 * E157, "")</f>
        <v/>
      </c>
      <c r="G157" s="45"/>
      <c r="H157" s="76" t="str">
        <f>IF(ISNUMBER(G157), (G157 - $B157) / $B157, "")</f>
        <v/>
      </c>
      <c r="I157" s="206" t="str">
        <f>IF(ISNUMBER(G157), $B172 * H157, "")</f>
        <v/>
      </c>
      <c r="J157" s="128"/>
      <c r="K157" s="76" t="str">
        <f>IF(ISNUMBER(J157), (J157 - $B157) / $B157, "")</f>
        <v/>
      </c>
      <c r="L157" s="205" t="str">
        <f>IF(ISNUMBER(J157), $B172 * K157, "")</f>
        <v/>
      </c>
      <c r="M157" s="45"/>
      <c r="N157" s="76" t="str">
        <f>IF(ISNUMBER(M157), (M157 - $B157) / $B157, "")</f>
        <v/>
      </c>
      <c r="O157" s="205" t="str">
        <f>IF(ISNUMBER(M157), $B172 * N157, "")</f>
        <v/>
      </c>
      <c r="Q157" s="275"/>
      <c r="R157" s="275"/>
      <c r="S157" s="275"/>
    </row>
    <row r="158" spans="1:19" ht="17.25" thickBot="1">
      <c r="A158" s="124"/>
      <c r="B158" s="125"/>
      <c r="C158" s="73"/>
      <c r="D158" s="125"/>
      <c r="E158" s="73" t="str">
        <f t="shared" ref="E158:E161" si="82">IF(ISNUMBER(D158), (D158 - $B158) / $B158, "")</f>
        <v/>
      </c>
      <c r="F158" s="136" t="str">
        <f>IF(ISNUMBER(D158), $B172 * E158, "")</f>
        <v/>
      </c>
      <c r="G158" s="39"/>
      <c r="H158" s="73" t="str">
        <f t="shared" ref="H158:H161" si="83">IF(ISNUMBER(G158), (G158 - $B158) / $B158, "")</f>
        <v/>
      </c>
      <c r="I158" s="202" t="str">
        <f>IF(ISNUMBER(G158), $B172 * H158, "")</f>
        <v/>
      </c>
      <c r="J158" s="125"/>
      <c r="K158" s="73" t="str">
        <f t="shared" ref="K158:K161" si="84">IF(ISNUMBER(J158), (J158 - $B158) / $B158, "")</f>
        <v/>
      </c>
      <c r="L158" s="136" t="str">
        <f>IF(ISNUMBER(J158), $B172 * K158, "")</f>
        <v/>
      </c>
      <c r="M158" s="39"/>
      <c r="N158" s="73" t="str">
        <f t="shared" ref="N158:N161" si="85">IF(ISNUMBER(M158), (M158 - $B158) / $B158, "")</f>
        <v/>
      </c>
      <c r="O158" s="136" t="str">
        <f>IF(ISNUMBER(M158), $B172 * N158, "")</f>
        <v/>
      </c>
      <c r="Q158" s="275"/>
      <c r="R158" s="275"/>
      <c r="S158" s="275"/>
    </row>
    <row r="159" spans="1:19" ht="17.25" thickBot="1">
      <c r="A159" s="124"/>
      <c r="B159" s="125"/>
      <c r="C159" s="73"/>
      <c r="D159" s="125"/>
      <c r="E159" s="73" t="str">
        <f t="shared" si="82"/>
        <v/>
      </c>
      <c r="F159" s="136" t="str">
        <f>IF(ISNUMBER(D159), $B172 * E159, "")</f>
        <v/>
      </c>
      <c r="G159" s="39"/>
      <c r="H159" s="73" t="str">
        <f t="shared" si="83"/>
        <v/>
      </c>
      <c r="I159" s="202" t="str">
        <f>IF(ISNUMBER(G159), $B172 * H159, "")</f>
        <v/>
      </c>
      <c r="J159" s="125"/>
      <c r="K159" s="73" t="str">
        <f t="shared" si="84"/>
        <v/>
      </c>
      <c r="L159" s="136" t="str">
        <f>IF(ISNUMBER(J159), $B172 * K159, "")</f>
        <v/>
      </c>
      <c r="M159" s="39"/>
      <c r="N159" s="73" t="str">
        <f t="shared" si="85"/>
        <v/>
      </c>
      <c r="O159" s="136" t="str">
        <f>IF(ISNUMBER(M159), $B172 * N159, "")</f>
        <v/>
      </c>
      <c r="Q159" s="275"/>
      <c r="R159" s="275"/>
      <c r="S159" s="275"/>
    </row>
    <row r="160" spans="1:19" ht="17.25" thickBot="1">
      <c r="A160" s="124"/>
      <c r="B160" s="125"/>
      <c r="C160" s="73"/>
      <c r="D160" s="125"/>
      <c r="E160" s="73" t="str">
        <f t="shared" si="82"/>
        <v/>
      </c>
      <c r="F160" s="136" t="str">
        <f>IF(ISNUMBER(D160), $B172 * E160, "")</f>
        <v/>
      </c>
      <c r="G160" s="39"/>
      <c r="H160" s="73" t="str">
        <f t="shared" si="83"/>
        <v/>
      </c>
      <c r="I160" s="202" t="str">
        <f>IF(ISNUMBER(G160), $B172 * H160, "")</f>
        <v/>
      </c>
      <c r="J160" s="125"/>
      <c r="K160" s="73" t="str">
        <f t="shared" si="84"/>
        <v/>
      </c>
      <c r="L160" s="136" t="str">
        <f>IF(ISNUMBER(J160), $B172 * K160, "")</f>
        <v/>
      </c>
      <c r="M160" s="39"/>
      <c r="N160" s="73" t="str">
        <f t="shared" si="85"/>
        <v/>
      </c>
      <c r="O160" s="136" t="str">
        <f>IF(ISNUMBER(M160), $B172 * N160, "")</f>
        <v/>
      </c>
      <c r="Q160" s="33"/>
      <c r="R160" s="33"/>
    </row>
    <row r="161" spans="1:19" ht="17.25" thickBot="1">
      <c r="A161" s="129"/>
      <c r="B161" s="130"/>
      <c r="C161" s="75"/>
      <c r="D161" s="130"/>
      <c r="E161" s="75" t="str">
        <f t="shared" si="82"/>
        <v/>
      </c>
      <c r="F161" s="137" t="str">
        <f>IF(ISNUMBER(D161), $B172 * E161, "")</f>
        <v/>
      </c>
      <c r="G161" s="37"/>
      <c r="H161" s="75" t="str">
        <f t="shared" si="83"/>
        <v/>
      </c>
      <c r="I161" s="207" t="str">
        <f>IF(ISNUMBER(G161), $B172 * H161, "")</f>
        <v/>
      </c>
      <c r="J161" s="130"/>
      <c r="K161" s="75" t="str">
        <f t="shared" si="84"/>
        <v/>
      </c>
      <c r="L161" s="137" t="str">
        <f>IF(ISNUMBER(J161), $B172 * K161, "")</f>
        <v/>
      </c>
      <c r="M161" s="37"/>
      <c r="N161" s="75" t="str">
        <f t="shared" si="85"/>
        <v/>
      </c>
      <c r="O161" s="137" t="str">
        <f>IF(ISNUMBER(M161), $B172 * N161, "")</f>
        <v/>
      </c>
      <c r="Q161" s="284"/>
      <c r="R161" s="285"/>
      <c r="S161" s="286"/>
    </row>
    <row r="162" spans="1:19">
      <c r="A162" s="122"/>
      <c r="B162" s="123"/>
      <c r="C162" s="72"/>
      <c r="D162" s="123"/>
      <c r="E162" s="72" t="str">
        <f>IF(ISNUMBER(D162), (D162 - $B162) / $B162, "")</f>
        <v/>
      </c>
      <c r="F162" s="140" t="str">
        <f>IF(ISNUMBER(D162), $B172 * E162, "")</f>
        <v/>
      </c>
      <c r="G162" s="38"/>
      <c r="H162" s="72" t="str">
        <f>IF(ISNUMBER(G162), (G162 - $B162) / $B162, "")</f>
        <v/>
      </c>
      <c r="I162" s="201" t="str">
        <f>IF(ISNUMBER(G162), $B172 * H162, "")</f>
        <v/>
      </c>
      <c r="J162" s="123"/>
      <c r="K162" s="72" t="str">
        <f>IF(ISNUMBER(J162), (J162 - $B162) / $B162, "")</f>
        <v/>
      </c>
      <c r="L162" s="140" t="str">
        <f>IF(ISNUMBER(J162), $B172 * K162, "")</f>
        <v/>
      </c>
      <c r="M162" s="38"/>
      <c r="N162" s="72" t="str">
        <f>IF(ISNUMBER(M162), (M162 - $B162) / $B162, "")</f>
        <v/>
      </c>
      <c r="O162" s="140" t="str">
        <f>IF(ISNUMBER(M162), $B172 * N162, "")</f>
        <v/>
      </c>
      <c r="Q162" s="287"/>
      <c r="R162" s="288"/>
      <c r="S162" s="289"/>
    </row>
    <row r="163" spans="1:19" ht="17.25" thickBot="1">
      <c r="A163" s="124"/>
      <c r="B163" s="125"/>
      <c r="C163" s="73"/>
      <c r="D163" s="125"/>
      <c r="E163" s="73" t="str">
        <f t="shared" ref="E163:E166" si="86">IF(ISNUMBER(D163), (D163 - $B163) / $B163, "")</f>
        <v/>
      </c>
      <c r="F163" s="136" t="str">
        <f>IF(ISNUMBER(D163), $B172 * E163, "")</f>
        <v/>
      </c>
      <c r="G163" s="39"/>
      <c r="H163" s="73" t="str">
        <f t="shared" ref="H163:H166" si="87">IF(ISNUMBER(G163), (G163 - $B163) / $B163, "")</f>
        <v/>
      </c>
      <c r="I163" s="202" t="str">
        <f>IF(ISNUMBER(G163), $B172 * H163, "")</f>
        <v/>
      </c>
      <c r="J163" s="125"/>
      <c r="K163" s="73" t="str">
        <f t="shared" ref="K163:K166" si="88">IF(ISNUMBER(J163), (J163 - $B163) / $B163, "")</f>
        <v/>
      </c>
      <c r="L163" s="136" t="str">
        <f>IF(ISNUMBER(J163), $B172 * K163, "")</f>
        <v/>
      </c>
      <c r="M163" s="39"/>
      <c r="N163" s="73" t="str">
        <f t="shared" ref="N163:N166" si="89">IF(ISNUMBER(M163), (M163 - $B163) / $B163, "")</f>
        <v/>
      </c>
      <c r="O163" s="136" t="str">
        <f>IF(ISNUMBER(M163), $B172 * N163, "")</f>
        <v/>
      </c>
      <c r="Q163" s="290"/>
      <c r="R163" s="291"/>
      <c r="S163" s="292"/>
    </row>
    <row r="164" spans="1:19" ht="17.25" thickBot="1">
      <c r="A164" s="124"/>
      <c r="B164" s="125"/>
      <c r="C164" s="73"/>
      <c r="D164" s="125"/>
      <c r="E164" s="73" t="str">
        <f t="shared" si="86"/>
        <v/>
      </c>
      <c r="F164" s="136" t="str">
        <f>IF(ISNUMBER(D164), $B172 * E164, "")</f>
        <v/>
      </c>
      <c r="G164" s="39"/>
      <c r="H164" s="73" t="str">
        <f t="shared" si="87"/>
        <v/>
      </c>
      <c r="I164" s="202" t="str">
        <f>IF(ISNUMBER(G164), $B172 * H164, "")</f>
        <v/>
      </c>
      <c r="J164" s="125"/>
      <c r="K164" s="73" t="str">
        <f t="shared" si="88"/>
        <v/>
      </c>
      <c r="L164" s="136" t="str">
        <f>IF(ISNUMBER(J164), $B172 * K164, "")</f>
        <v/>
      </c>
      <c r="M164" s="39"/>
      <c r="N164" s="73" t="str">
        <f t="shared" si="89"/>
        <v/>
      </c>
      <c r="O164" s="136" t="str">
        <f>IF(ISNUMBER(M164), $B172 * N164, "")</f>
        <v/>
      </c>
      <c r="Q164" s="275"/>
      <c r="R164" s="275"/>
      <c r="S164" s="275"/>
    </row>
    <row r="165" spans="1:19" ht="17.25" thickBot="1">
      <c r="A165" s="124"/>
      <c r="B165" s="125"/>
      <c r="C165" s="73"/>
      <c r="D165" s="125"/>
      <c r="E165" s="73" t="str">
        <f t="shared" si="86"/>
        <v/>
      </c>
      <c r="F165" s="136" t="str">
        <f>IF(ISNUMBER(D165), $B172 * E165, "")</f>
        <v/>
      </c>
      <c r="G165" s="39"/>
      <c r="H165" s="73" t="str">
        <f t="shared" si="87"/>
        <v/>
      </c>
      <c r="I165" s="202" t="str">
        <f>IF(ISNUMBER(G165), $B172 * H165, "")</f>
        <v/>
      </c>
      <c r="J165" s="125"/>
      <c r="K165" s="73" t="str">
        <f t="shared" si="88"/>
        <v/>
      </c>
      <c r="L165" s="136" t="str">
        <f>IF(ISNUMBER(J165), $B172 * K165, "")</f>
        <v/>
      </c>
      <c r="M165" s="39"/>
      <c r="N165" s="73" t="str">
        <f t="shared" si="89"/>
        <v/>
      </c>
      <c r="O165" s="136" t="str">
        <f>IF(ISNUMBER(M165), $B172 * N165, "")</f>
        <v/>
      </c>
      <c r="Q165" s="270"/>
      <c r="R165" s="270"/>
      <c r="S165" s="270"/>
    </row>
    <row r="166" spans="1:19" ht="17.25" thickBot="1">
      <c r="A166" s="126"/>
      <c r="B166" s="127"/>
      <c r="C166" s="74"/>
      <c r="D166" s="127"/>
      <c r="E166" s="74" t="str">
        <f t="shared" si="86"/>
        <v/>
      </c>
      <c r="F166" s="203" t="str">
        <f>IF(ISNUMBER(D166), $B172 * E166, "")</f>
        <v/>
      </c>
      <c r="G166" s="44"/>
      <c r="H166" s="74" t="str">
        <f t="shared" si="87"/>
        <v/>
      </c>
      <c r="I166" s="204" t="str">
        <f>IF(ISNUMBER(G166), $B172 * H166, "")</f>
        <v/>
      </c>
      <c r="J166" s="127"/>
      <c r="K166" s="74" t="str">
        <f t="shared" si="88"/>
        <v/>
      </c>
      <c r="L166" s="203" t="str">
        <f>IF(ISNUMBER(J166), $B172 * K166, "")</f>
        <v/>
      </c>
      <c r="M166" s="44"/>
      <c r="N166" s="74" t="str">
        <f t="shared" si="89"/>
        <v/>
      </c>
      <c r="O166" s="203" t="str">
        <f>IF(ISNUMBER(M166), $B172 * N166, "")</f>
        <v/>
      </c>
      <c r="Q166" s="270"/>
      <c r="R166" s="270"/>
      <c r="S166" s="270"/>
    </row>
    <row r="167" spans="1:19" ht="17.25" thickBot="1">
      <c r="A167" s="124"/>
      <c r="B167" s="128"/>
      <c r="C167" s="76"/>
      <c r="D167" s="128"/>
      <c r="E167" s="76" t="str">
        <f>IF(ISNUMBER(D167), (D167 - $B167) / $B167, "")</f>
        <v/>
      </c>
      <c r="F167" s="205" t="str">
        <f>IF(ISNUMBER(D167), $B172 * E167, "")</f>
        <v/>
      </c>
      <c r="G167" s="45"/>
      <c r="H167" s="76" t="str">
        <f>IF(ISNUMBER(G167), (G167 - $B167) / $B167, "")</f>
        <v/>
      </c>
      <c r="I167" s="206" t="str">
        <f>IF(ISNUMBER(G167), $B172 * H167, "")</f>
        <v/>
      </c>
      <c r="J167" s="128"/>
      <c r="K167" s="76" t="str">
        <f>IF(ISNUMBER(J167), (J167 - $B167) / $B167, "")</f>
        <v/>
      </c>
      <c r="L167" s="205" t="str">
        <f>IF(ISNUMBER(J167), $B172 * K167, "")</f>
        <v/>
      </c>
      <c r="M167" s="45"/>
      <c r="N167" s="76" t="str">
        <f>IF(ISNUMBER(M167), (M167 - $B167) / $B167, "")</f>
        <v/>
      </c>
      <c r="O167" s="205" t="str">
        <f>IF(ISNUMBER(M167), $B172 * N167, "")</f>
        <v/>
      </c>
      <c r="Q167" s="275"/>
      <c r="R167" s="275"/>
      <c r="S167" s="275"/>
    </row>
    <row r="168" spans="1:19" ht="17.25" thickBot="1">
      <c r="A168" s="124"/>
      <c r="B168" s="125"/>
      <c r="C168" s="73"/>
      <c r="D168" s="125"/>
      <c r="E168" s="73" t="str">
        <f t="shared" ref="E168:E171" si="90">IF(ISNUMBER(D168), (D168 - $B168) / $B168, "")</f>
        <v/>
      </c>
      <c r="F168" s="136" t="str">
        <f>IF(ISNUMBER(D168), $B172 * E168, "")</f>
        <v/>
      </c>
      <c r="G168" s="39"/>
      <c r="H168" s="73" t="str">
        <f t="shared" ref="H168:H171" si="91">IF(ISNUMBER(G168), (G168 - $B168) / $B168, "")</f>
        <v/>
      </c>
      <c r="I168" s="202" t="str">
        <f>IF(ISNUMBER(G168), $B172 * H168, "")</f>
        <v/>
      </c>
      <c r="J168" s="125"/>
      <c r="K168" s="73" t="str">
        <f t="shared" ref="K168:K171" si="92">IF(ISNUMBER(J168), (J168 - $B168) / $B168, "")</f>
        <v/>
      </c>
      <c r="L168" s="136" t="str">
        <f>IF(ISNUMBER(J168), $B172 * K168, "")</f>
        <v/>
      </c>
      <c r="M168" s="39"/>
      <c r="N168" s="73" t="str">
        <f t="shared" ref="N168:N171" si="93">IF(ISNUMBER(M168), (M168 - $B168) / $B168, "")</f>
        <v/>
      </c>
      <c r="O168" s="136" t="str">
        <f>IF(ISNUMBER(M168), $B172 * N168, "")</f>
        <v/>
      </c>
      <c r="Q168" s="275"/>
      <c r="R168" s="275"/>
      <c r="S168" s="275"/>
    </row>
    <row r="169" spans="1:19" ht="17.25" thickBot="1">
      <c r="A169" s="124"/>
      <c r="B169" s="125"/>
      <c r="C169" s="73"/>
      <c r="D169" s="125"/>
      <c r="E169" s="73" t="str">
        <f t="shared" si="90"/>
        <v/>
      </c>
      <c r="F169" s="136" t="str">
        <f>IF(ISNUMBER(D169), $B172 * E169, "")</f>
        <v/>
      </c>
      <c r="G169" s="39"/>
      <c r="H169" s="73" t="str">
        <f t="shared" si="91"/>
        <v/>
      </c>
      <c r="I169" s="202" t="str">
        <f>IF(ISNUMBER(G169), $B172 * H169, "")</f>
        <v/>
      </c>
      <c r="J169" s="125"/>
      <c r="K169" s="73" t="str">
        <f t="shared" si="92"/>
        <v/>
      </c>
      <c r="L169" s="136" t="str">
        <f>IF(ISNUMBER(J169), $B172 * K169, "")</f>
        <v/>
      </c>
      <c r="M169" s="39"/>
      <c r="N169" s="73" t="str">
        <f t="shared" si="93"/>
        <v/>
      </c>
      <c r="O169" s="136" t="str">
        <f>IF(ISNUMBER(M169), $B172 * N169, "")</f>
        <v/>
      </c>
      <c r="Q169" s="275"/>
      <c r="R169" s="275"/>
      <c r="S169" s="275"/>
    </row>
    <row r="170" spans="1:19">
      <c r="A170" s="124"/>
      <c r="B170" s="125"/>
      <c r="C170" s="73"/>
      <c r="D170" s="125"/>
      <c r="E170" s="73" t="str">
        <f t="shared" si="90"/>
        <v/>
      </c>
      <c r="F170" s="136" t="str">
        <f>IF(ISNUMBER(D170), $B172 * E170, "")</f>
        <v/>
      </c>
      <c r="G170" s="39"/>
      <c r="H170" s="73" t="str">
        <f t="shared" si="91"/>
        <v/>
      </c>
      <c r="I170" s="202" t="str">
        <f>IF(ISNUMBER(G170), $B172 * H170, "")</f>
        <v/>
      </c>
      <c r="J170" s="125"/>
      <c r="K170" s="73" t="str">
        <f t="shared" si="92"/>
        <v/>
      </c>
      <c r="L170" s="136" t="str">
        <f>IF(ISNUMBER(J170), $B172 * K170, "")</f>
        <v/>
      </c>
      <c r="M170" s="39"/>
      <c r="N170" s="73" t="str">
        <f t="shared" si="93"/>
        <v/>
      </c>
      <c r="O170" s="136" t="str">
        <f>IF(ISNUMBER(M170), $B172 * N170, "")</f>
        <v/>
      </c>
      <c r="Q170" s="297"/>
      <c r="R170" s="298"/>
      <c r="S170" s="299"/>
    </row>
    <row r="171" spans="1:19" ht="17.25" thickBot="1">
      <c r="A171" s="129"/>
      <c r="B171" s="130"/>
      <c r="C171" s="75"/>
      <c r="D171" s="130"/>
      <c r="E171" s="75" t="str">
        <f t="shared" si="90"/>
        <v/>
      </c>
      <c r="F171" s="137" t="str">
        <f>IF(ISNUMBER(D171), $B172 * E171, "")</f>
        <v/>
      </c>
      <c r="G171" s="37"/>
      <c r="H171" s="75" t="str">
        <f t="shared" si="91"/>
        <v/>
      </c>
      <c r="I171" s="207" t="str">
        <f>IF(ISNUMBER(G171), $B172 * H171, "")</f>
        <v/>
      </c>
      <c r="J171" s="130"/>
      <c r="K171" s="75" t="str">
        <f t="shared" si="92"/>
        <v/>
      </c>
      <c r="L171" s="137" t="str">
        <f>IF(ISNUMBER(J171), $B172 * K171, "")</f>
        <v/>
      </c>
      <c r="M171" s="37"/>
      <c r="N171" s="75" t="str">
        <f t="shared" si="93"/>
        <v/>
      </c>
      <c r="O171" s="137" t="str">
        <f>IF(ISNUMBER(M171), $B172 * N171, "")</f>
        <v/>
      </c>
      <c r="Q171" s="300"/>
      <c r="R171" s="301"/>
      <c r="S171" s="302"/>
    </row>
    <row r="172" spans="1:19" ht="17.25" thickBot="1">
      <c r="A172" s="131" t="s">
        <v>301</v>
      </c>
      <c r="B172" s="308">
        <f>$B$37</f>
        <v>150000</v>
      </c>
      <c r="C172" s="309"/>
      <c r="D172" s="131" t="s">
        <v>302</v>
      </c>
      <c r="E172" s="195">
        <f>IF(COUNT(E152:E171), SUM(E152:E171) / COUNT(E152:E171), 0)</f>
        <v>0</v>
      </c>
      <c r="F172" s="208">
        <f>SUM(F152:F171)</f>
        <v>0</v>
      </c>
      <c r="G172" s="131" t="s">
        <v>302</v>
      </c>
      <c r="H172" s="195">
        <f>IF(COUNT(H152:H171), SUM(H152:H171) / COUNT(H152:H171), 0)</f>
        <v>0</v>
      </c>
      <c r="I172" s="208">
        <f>SUM(I152:I171)</f>
        <v>0</v>
      </c>
      <c r="J172" s="131" t="s">
        <v>302</v>
      </c>
      <c r="K172" s="195">
        <f>IF(COUNT(K152:K171), SUM(K152:K171) / COUNT(K152:K171), 0)</f>
        <v>0</v>
      </c>
      <c r="L172" s="208">
        <f>SUM(L152:L171)</f>
        <v>0</v>
      </c>
      <c r="M172" s="131" t="s">
        <v>302</v>
      </c>
      <c r="N172" s="195">
        <f>IF(COUNT(N152:N171), SUM(N152:N171) / COUNT(N152:N171), 0)</f>
        <v>0</v>
      </c>
      <c r="O172" s="208">
        <f>SUM(O152:O171)</f>
        <v>0</v>
      </c>
      <c r="Q172" s="303"/>
      <c r="R172" s="304"/>
      <c r="S172" s="305"/>
    </row>
    <row r="174" spans="1:19" ht="17.25" thickBot="1"/>
    <row r="175" spans="1:19" ht="17.25" thickBot="1">
      <c r="A175" s="249" t="s">
        <v>285</v>
      </c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50"/>
      <c r="M175" s="250"/>
      <c r="N175" s="250"/>
      <c r="O175" s="251"/>
      <c r="Q175" s="270"/>
      <c r="R175" s="270"/>
      <c r="S175" s="270"/>
    </row>
    <row r="176" spans="1:19" ht="17.25" thickBot="1">
      <c r="A176" s="186" t="s">
        <v>298</v>
      </c>
      <c r="B176" s="249" t="s">
        <v>49</v>
      </c>
      <c r="C176" s="251"/>
      <c r="D176" s="249" t="s">
        <v>58</v>
      </c>
      <c r="E176" s="250"/>
      <c r="F176" s="251"/>
      <c r="G176" s="276">
        <f>_xlfn.IFNA(VLOOKUP(B176, 현재가테이블!$B$2:$D$200, 2, FALSE), "-")</f>
        <v>60874000</v>
      </c>
      <c r="H176" s="277"/>
      <c r="I176" s="278"/>
      <c r="J176" s="249" t="s">
        <v>59</v>
      </c>
      <c r="K176" s="250"/>
      <c r="L176" s="251"/>
      <c r="M176" s="279">
        <f>_xlfn.IFNA(VLOOKUP(B176, 현재가테이블!$B$2:$D$200, 3, FALSE), "-")</f>
        <v>-1.4936000099999999E-2</v>
      </c>
      <c r="N176" s="280"/>
      <c r="O176" s="281"/>
      <c r="Q176" s="270"/>
      <c r="R176" s="270"/>
      <c r="S176" s="270"/>
    </row>
    <row r="177" spans="1:19" ht="17.25" thickBot="1">
      <c r="A177" s="310" t="s">
        <v>55</v>
      </c>
      <c r="B177" s="312" t="str">
        <f>TEXT($G$1, "[$-ko-KR]yyyy-mm-dd(ddd) ") &amp; "오전 00:00"</f>
        <v>2021-05-01(토) 오전 00:00</v>
      </c>
      <c r="C177" s="313"/>
      <c r="D177" s="249" t="str">
        <f>TEXT($G$1, "[$-ko-KR]yyyy-mm-dd(ddd) ") &amp; "오후 14:00"</f>
        <v>2021-05-01(토) 오후 14:00</v>
      </c>
      <c r="E177" s="250"/>
      <c r="F177" s="251"/>
      <c r="G177" s="249" t="str">
        <f>TEXT($G$1, "[$-ko-KR]yyyy-mm-dd(ddd) ") &amp; "오후 19:00"</f>
        <v>2021-05-01(토) 오후 19:00</v>
      </c>
      <c r="H177" s="250"/>
      <c r="I177" s="251"/>
      <c r="J177" s="249" t="str">
        <f>TEXT($G$1, "[$-ko-KR]yyyy-mm-dd(ddd) ") &amp; "오후 21:00"</f>
        <v>2021-05-01(토) 오후 21:00</v>
      </c>
      <c r="K177" s="250"/>
      <c r="L177" s="251"/>
      <c r="M177" s="249" t="str">
        <f>TEXT($G$1+1, "[$-ko-KR]yyyy-mm-dd(ddd) ") &amp; "오전 00:00"</f>
        <v>2021-05-02(일) 오전 00:00</v>
      </c>
      <c r="N177" s="250"/>
      <c r="O177" s="251"/>
      <c r="Q177" s="270"/>
      <c r="R177" s="270"/>
      <c r="S177" s="270"/>
    </row>
    <row r="178" spans="1:19" ht="17.25" thickBot="1">
      <c r="A178" s="311"/>
      <c r="B178" s="120" t="s">
        <v>58</v>
      </c>
      <c r="C178" s="121" t="s">
        <v>59</v>
      </c>
      <c r="D178" s="120" t="s">
        <v>58</v>
      </c>
      <c r="E178" s="121" t="s">
        <v>299</v>
      </c>
      <c r="F178" s="196" t="s">
        <v>300</v>
      </c>
      <c r="G178" s="186" t="s">
        <v>58</v>
      </c>
      <c r="H178" s="187" t="s">
        <v>299</v>
      </c>
      <c r="I178" s="188" t="s">
        <v>300</v>
      </c>
      <c r="J178" s="121" t="s">
        <v>58</v>
      </c>
      <c r="K178" s="121" t="s">
        <v>299</v>
      </c>
      <c r="L178" s="190" t="s">
        <v>300</v>
      </c>
      <c r="M178" s="120" t="s">
        <v>58</v>
      </c>
      <c r="N178" s="121" t="s">
        <v>299</v>
      </c>
      <c r="O178" s="191" t="s">
        <v>300</v>
      </c>
      <c r="Q178" s="275"/>
      <c r="R178" s="275"/>
      <c r="S178" s="275"/>
    </row>
    <row r="179" spans="1:19" ht="17.25" thickBot="1">
      <c r="A179" s="122"/>
      <c r="B179" s="123"/>
      <c r="C179" s="72"/>
      <c r="D179" s="123"/>
      <c r="E179" s="72" t="str">
        <f>IF(ISNUMBER(D179), (D179 - $B179) / $B179, "")</f>
        <v/>
      </c>
      <c r="F179" s="140" t="str">
        <f>IF(ISNUMBER(D179), $B199 * E179, "")</f>
        <v/>
      </c>
      <c r="G179" s="38"/>
      <c r="H179" s="72" t="str">
        <f>IF(ISNUMBER(G179), (G179 - $B179) / $B179, "")</f>
        <v/>
      </c>
      <c r="I179" s="201" t="str">
        <f>IF(ISNUMBER(G179), $B199 * H179, "")</f>
        <v/>
      </c>
      <c r="J179" s="123"/>
      <c r="K179" s="72" t="str">
        <f>IF(ISNUMBER(J179), (J179 - $B179) / $B179, "")</f>
        <v/>
      </c>
      <c r="L179" s="140" t="str">
        <f>IF(ISNUMBER(J179), $B199 * K179, "")</f>
        <v/>
      </c>
      <c r="M179" s="38"/>
      <c r="N179" s="72" t="str">
        <f>IF(ISNUMBER(M179), (M179 - $B179) / $B179, "")</f>
        <v/>
      </c>
      <c r="O179" s="140" t="str">
        <f>IF(ISNUMBER(M179), $B199 * N179, "")</f>
        <v/>
      </c>
      <c r="Q179" s="270"/>
      <c r="R179" s="270"/>
      <c r="S179" s="270"/>
    </row>
    <row r="180" spans="1:19" ht="17.25" thickBot="1">
      <c r="A180" s="124"/>
      <c r="B180" s="125"/>
      <c r="C180" s="73"/>
      <c r="D180" s="125"/>
      <c r="E180" s="73" t="str">
        <f t="shared" ref="E180:E183" si="94">IF(ISNUMBER(D180), (D180 - $B180) / $B180, "")</f>
        <v/>
      </c>
      <c r="F180" s="136" t="str">
        <f>IF(ISNUMBER(D180), $B199 * E180, "")</f>
        <v/>
      </c>
      <c r="G180" s="39"/>
      <c r="H180" s="73" t="str">
        <f t="shared" ref="H180:H183" si="95">IF(ISNUMBER(G180), (G180 - $B180) / $B180, "")</f>
        <v/>
      </c>
      <c r="I180" s="202" t="str">
        <f>IF(ISNUMBER(G180), $B199 * H180, "")</f>
        <v/>
      </c>
      <c r="J180" s="125"/>
      <c r="K180" s="73" t="str">
        <f t="shared" ref="K180:K183" si="96">IF(ISNUMBER(J180), (J180 - $B180) / $B180, "")</f>
        <v/>
      </c>
      <c r="L180" s="136" t="str">
        <f>IF(ISNUMBER(J180), $B199 * K180, "")</f>
        <v/>
      </c>
      <c r="M180" s="39"/>
      <c r="N180" s="73" t="str">
        <f t="shared" ref="N180:N183" si="97">IF(ISNUMBER(M180), (M180 - $B180) / $B180, "")</f>
        <v/>
      </c>
      <c r="O180" s="136" t="str">
        <f>IF(ISNUMBER(M180), $B199 * N180, "")</f>
        <v/>
      </c>
      <c r="Q180" s="270"/>
      <c r="R180" s="270"/>
      <c r="S180" s="270"/>
    </row>
    <row r="181" spans="1:19" ht="17.25" thickBot="1">
      <c r="A181" s="124"/>
      <c r="B181" s="125"/>
      <c r="C181" s="73"/>
      <c r="D181" s="125"/>
      <c r="E181" s="73" t="str">
        <f t="shared" si="94"/>
        <v/>
      </c>
      <c r="F181" s="136" t="str">
        <f>IF(ISNUMBER(D181), $B199 * E181, "")</f>
        <v/>
      </c>
      <c r="G181" s="39"/>
      <c r="H181" s="73" t="str">
        <f t="shared" si="95"/>
        <v/>
      </c>
      <c r="I181" s="202" t="str">
        <f>IF(ISNUMBER(G181), $B199 * H181, "")</f>
        <v/>
      </c>
      <c r="J181" s="125"/>
      <c r="K181" s="73" t="str">
        <f t="shared" si="96"/>
        <v/>
      </c>
      <c r="L181" s="136" t="str">
        <f>IF(ISNUMBER(J181), $B199 * K181, "")</f>
        <v/>
      </c>
      <c r="M181" s="39"/>
      <c r="N181" s="73" t="str">
        <f t="shared" si="97"/>
        <v/>
      </c>
      <c r="O181" s="136" t="str">
        <f>IF(ISNUMBER(M181), $B199 * N181, "")</f>
        <v/>
      </c>
      <c r="Q181" s="275"/>
      <c r="R181" s="275"/>
      <c r="S181" s="275"/>
    </row>
    <row r="182" spans="1:19" ht="17.25" thickBot="1">
      <c r="A182" s="124"/>
      <c r="B182" s="125"/>
      <c r="C182" s="73"/>
      <c r="D182" s="125"/>
      <c r="E182" s="73" t="str">
        <f t="shared" si="94"/>
        <v/>
      </c>
      <c r="F182" s="136" t="str">
        <f>IF(ISNUMBER(D182), $B199 * E182, "")</f>
        <v/>
      </c>
      <c r="G182" s="39"/>
      <c r="H182" s="73" t="str">
        <f t="shared" si="95"/>
        <v/>
      </c>
      <c r="I182" s="202" t="str">
        <f>IF(ISNUMBER(G182), $B199 * H182, "")</f>
        <v/>
      </c>
      <c r="J182" s="125"/>
      <c r="K182" s="73" t="str">
        <f t="shared" si="96"/>
        <v/>
      </c>
      <c r="L182" s="136" t="str">
        <f>IF(ISNUMBER(J182), $B199 * K182, "")</f>
        <v/>
      </c>
      <c r="M182" s="39"/>
      <c r="N182" s="73" t="str">
        <f t="shared" si="97"/>
        <v/>
      </c>
      <c r="O182" s="136" t="str">
        <f>IF(ISNUMBER(M182), $B199 * N182, "")</f>
        <v/>
      </c>
      <c r="Q182" s="275"/>
      <c r="R182" s="275"/>
      <c r="S182" s="275"/>
    </row>
    <row r="183" spans="1:19" ht="17.25" thickBot="1">
      <c r="A183" s="126"/>
      <c r="B183" s="127"/>
      <c r="C183" s="74"/>
      <c r="D183" s="127"/>
      <c r="E183" s="74" t="str">
        <f t="shared" si="94"/>
        <v/>
      </c>
      <c r="F183" s="203" t="str">
        <f>IF(ISNUMBER(D183), $B199 * E183, "")</f>
        <v/>
      </c>
      <c r="G183" s="44"/>
      <c r="H183" s="74" t="str">
        <f t="shared" si="95"/>
        <v/>
      </c>
      <c r="I183" s="204" t="str">
        <f>IF(ISNUMBER(G183), $B199 * H183, "")</f>
        <v/>
      </c>
      <c r="J183" s="127"/>
      <c r="K183" s="74" t="str">
        <f t="shared" si="96"/>
        <v/>
      </c>
      <c r="L183" s="203" t="str">
        <f>IF(ISNUMBER(J183), $B199 * K183, "")</f>
        <v/>
      </c>
      <c r="M183" s="44"/>
      <c r="N183" s="74" t="str">
        <f t="shared" si="97"/>
        <v/>
      </c>
      <c r="O183" s="203" t="str">
        <f>IF(ISNUMBER(M183), $B199 * N183, "")</f>
        <v/>
      </c>
      <c r="Q183" s="275"/>
      <c r="R183" s="275"/>
      <c r="S183" s="275"/>
    </row>
    <row r="184" spans="1:19" ht="17.25" thickBot="1">
      <c r="A184" s="124"/>
      <c r="B184" s="128"/>
      <c r="C184" s="76"/>
      <c r="D184" s="128"/>
      <c r="E184" s="76" t="str">
        <f>IF(ISNUMBER(D184), (D184 - $B184) / $B184, "")</f>
        <v/>
      </c>
      <c r="F184" s="205" t="str">
        <f>IF(ISNUMBER(D184), $B199 * E184, "")</f>
        <v/>
      </c>
      <c r="G184" s="45"/>
      <c r="H184" s="76" t="str">
        <f>IF(ISNUMBER(G184), (G184 - $B184) / $B184, "")</f>
        <v/>
      </c>
      <c r="I184" s="206" t="str">
        <f>IF(ISNUMBER(G184), $B199 * H184, "")</f>
        <v/>
      </c>
      <c r="J184" s="128"/>
      <c r="K184" s="76" t="str">
        <f>IF(ISNUMBER(J184), (J184 - $B184) / $B184, "")</f>
        <v/>
      </c>
      <c r="L184" s="205" t="str">
        <f>IF(ISNUMBER(J184), $B199 * K184, "")</f>
        <v/>
      </c>
      <c r="M184" s="45"/>
      <c r="N184" s="76" t="str">
        <f>IF(ISNUMBER(M184), (M184 - $B184) / $B184, "")</f>
        <v/>
      </c>
      <c r="O184" s="205" t="str">
        <f>IF(ISNUMBER(M184), $B199 * N184, "")</f>
        <v/>
      </c>
      <c r="Q184" s="275"/>
      <c r="R184" s="275"/>
      <c r="S184" s="275"/>
    </row>
    <row r="185" spans="1:19" ht="17.25" thickBot="1">
      <c r="A185" s="124"/>
      <c r="B185" s="125"/>
      <c r="C185" s="73"/>
      <c r="D185" s="125"/>
      <c r="E185" s="73" t="str">
        <f t="shared" ref="E185:E188" si="98">IF(ISNUMBER(D185), (D185 - $B185) / $B185, "")</f>
        <v/>
      </c>
      <c r="F185" s="136" t="str">
        <f>IF(ISNUMBER(D185), $B199 * E185, "")</f>
        <v/>
      </c>
      <c r="G185" s="39"/>
      <c r="H185" s="73" t="str">
        <f t="shared" ref="H185:H188" si="99">IF(ISNUMBER(G185), (G185 - $B185) / $B185, "")</f>
        <v/>
      </c>
      <c r="I185" s="202" t="str">
        <f>IF(ISNUMBER(G185), $B199 * H185, "")</f>
        <v/>
      </c>
      <c r="J185" s="125"/>
      <c r="K185" s="73" t="str">
        <f t="shared" ref="K185:K188" si="100">IF(ISNUMBER(J185), (J185 - $B185) / $B185, "")</f>
        <v/>
      </c>
      <c r="L185" s="136" t="str">
        <f>IF(ISNUMBER(J185), $B199 * K185, "")</f>
        <v/>
      </c>
      <c r="M185" s="39"/>
      <c r="N185" s="73" t="str">
        <f t="shared" ref="N185:N188" si="101">IF(ISNUMBER(M185), (M185 - $B185) / $B185, "")</f>
        <v/>
      </c>
      <c r="O185" s="136" t="str">
        <f>IF(ISNUMBER(M185), $B199 * N185, "")</f>
        <v/>
      </c>
      <c r="Q185" s="275"/>
      <c r="R185" s="275"/>
      <c r="S185" s="275"/>
    </row>
    <row r="186" spans="1:19" ht="17.25" thickBot="1">
      <c r="A186" s="124"/>
      <c r="B186" s="125"/>
      <c r="C186" s="73"/>
      <c r="D186" s="125"/>
      <c r="E186" s="73" t="str">
        <f t="shared" si="98"/>
        <v/>
      </c>
      <c r="F186" s="136" t="str">
        <f>IF(ISNUMBER(D186), $B199 * E186, "")</f>
        <v/>
      </c>
      <c r="G186" s="39"/>
      <c r="H186" s="73" t="str">
        <f t="shared" si="99"/>
        <v/>
      </c>
      <c r="I186" s="202" t="str">
        <f>IF(ISNUMBER(G186), $B199 * H186, "")</f>
        <v/>
      </c>
      <c r="J186" s="125"/>
      <c r="K186" s="73" t="str">
        <f t="shared" si="100"/>
        <v/>
      </c>
      <c r="L186" s="136" t="str">
        <f>IF(ISNUMBER(J186), $B199 * K186, "")</f>
        <v/>
      </c>
      <c r="M186" s="39"/>
      <c r="N186" s="73" t="str">
        <f t="shared" si="101"/>
        <v/>
      </c>
      <c r="O186" s="136" t="str">
        <f>IF(ISNUMBER(M186), $B199 * N186, "")</f>
        <v/>
      </c>
      <c r="Q186" s="275"/>
      <c r="R186" s="275"/>
      <c r="S186" s="275"/>
    </row>
    <row r="187" spans="1:19" ht="17.25" thickBot="1">
      <c r="A187" s="124"/>
      <c r="B187" s="125"/>
      <c r="C187" s="73"/>
      <c r="D187" s="125"/>
      <c r="E187" s="73" t="str">
        <f t="shared" si="98"/>
        <v/>
      </c>
      <c r="F187" s="136" t="str">
        <f>IF(ISNUMBER(D187), $B199 * E187, "")</f>
        <v/>
      </c>
      <c r="G187" s="39"/>
      <c r="H187" s="73" t="str">
        <f t="shared" si="99"/>
        <v/>
      </c>
      <c r="I187" s="202" t="str">
        <f>IF(ISNUMBER(G187), $B199 * H187, "")</f>
        <v/>
      </c>
      <c r="J187" s="125"/>
      <c r="K187" s="73" t="str">
        <f t="shared" si="100"/>
        <v/>
      </c>
      <c r="L187" s="136" t="str">
        <f>IF(ISNUMBER(J187), $B199 * K187, "")</f>
        <v/>
      </c>
      <c r="M187" s="39"/>
      <c r="N187" s="73" t="str">
        <f t="shared" si="101"/>
        <v/>
      </c>
      <c r="O187" s="136" t="str">
        <f>IF(ISNUMBER(M187), $B199 * N187, "")</f>
        <v/>
      </c>
      <c r="Q187" s="33"/>
      <c r="R187" s="33"/>
    </row>
    <row r="188" spans="1:19" ht="17.25" thickBot="1">
      <c r="A188" s="129"/>
      <c r="B188" s="130"/>
      <c r="C188" s="75"/>
      <c r="D188" s="130"/>
      <c r="E188" s="75" t="str">
        <f t="shared" si="98"/>
        <v/>
      </c>
      <c r="F188" s="137" t="str">
        <f>IF(ISNUMBER(D188), $B199 * E188, "")</f>
        <v/>
      </c>
      <c r="G188" s="37"/>
      <c r="H188" s="75" t="str">
        <f t="shared" si="99"/>
        <v/>
      </c>
      <c r="I188" s="207" t="str">
        <f>IF(ISNUMBER(G188), $B199 * H188, "")</f>
        <v/>
      </c>
      <c r="J188" s="130"/>
      <c r="K188" s="75" t="str">
        <f t="shared" si="100"/>
        <v/>
      </c>
      <c r="L188" s="137" t="str">
        <f>IF(ISNUMBER(J188), $B199 * K188, "")</f>
        <v/>
      </c>
      <c r="M188" s="37"/>
      <c r="N188" s="75" t="str">
        <f t="shared" si="101"/>
        <v/>
      </c>
      <c r="O188" s="137" t="str">
        <f>IF(ISNUMBER(M188), $B199 * N188, "")</f>
        <v/>
      </c>
      <c r="Q188" s="284"/>
      <c r="R188" s="285"/>
      <c r="S188" s="286"/>
    </row>
    <row r="189" spans="1:19">
      <c r="A189" s="122"/>
      <c r="B189" s="123"/>
      <c r="C189" s="72"/>
      <c r="D189" s="123"/>
      <c r="E189" s="72" t="str">
        <f>IF(ISNUMBER(D189), (D189 - $B189) / $B189, "")</f>
        <v/>
      </c>
      <c r="F189" s="140" t="str">
        <f>IF(ISNUMBER(D189), $B199 * E189, "")</f>
        <v/>
      </c>
      <c r="G189" s="38"/>
      <c r="H189" s="72" t="str">
        <f>IF(ISNUMBER(G189), (G189 - $B189) / $B189, "")</f>
        <v/>
      </c>
      <c r="I189" s="201" t="str">
        <f>IF(ISNUMBER(G189), $B199 * H189, "")</f>
        <v/>
      </c>
      <c r="J189" s="123"/>
      <c r="K189" s="72" t="str">
        <f>IF(ISNUMBER(J189), (J189 - $B189) / $B189, "")</f>
        <v/>
      </c>
      <c r="L189" s="140" t="str">
        <f>IF(ISNUMBER(J189), $B199 * K189, "")</f>
        <v/>
      </c>
      <c r="M189" s="38"/>
      <c r="N189" s="72" t="str">
        <f>IF(ISNUMBER(M189), (M189 - $B189) / $B189, "")</f>
        <v/>
      </c>
      <c r="O189" s="140" t="str">
        <f>IF(ISNUMBER(M189), $B199 * N189, "")</f>
        <v/>
      </c>
      <c r="Q189" s="287"/>
      <c r="R189" s="288"/>
      <c r="S189" s="289"/>
    </row>
    <row r="190" spans="1:19" ht="17.25" thickBot="1">
      <c r="A190" s="124"/>
      <c r="B190" s="125"/>
      <c r="C190" s="73"/>
      <c r="D190" s="125"/>
      <c r="E190" s="73" t="str">
        <f t="shared" ref="E190:E193" si="102">IF(ISNUMBER(D190), (D190 - $B190) / $B190, "")</f>
        <v/>
      </c>
      <c r="F190" s="136" t="str">
        <f>IF(ISNUMBER(D190), $B199 * E190, "")</f>
        <v/>
      </c>
      <c r="G190" s="39"/>
      <c r="H190" s="73" t="str">
        <f t="shared" ref="H190:H193" si="103">IF(ISNUMBER(G190), (G190 - $B190) / $B190, "")</f>
        <v/>
      </c>
      <c r="I190" s="202" t="str">
        <f>IF(ISNUMBER(G190), $B199 * H190, "")</f>
        <v/>
      </c>
      <c r="J190" s="125"/>
      <c r="K190" s="73" t="str">
        <f t="shared" ref="K190:K193" si="104">IF(ISNUMBER(J190), (J190 - $B190) / $B190, "")</f>
        <v/>
      </c>
      <c r="L190" s="136" t="str">
        <f>IF(ISNUMBER(J190), $B199 * K190, "")</f>
        <v/>
      </c>
      <c r="M190" s="39"/>
      <c r="N190" s="73" t="str">
        <f t="shared" ref="N190:N193" si="105">IF(ISNUMBER(M190), (M190 - $B190) / $B190, "")</f>
        <v/>
      </c>
      <c r="O190" s="136" t="str">
        <f>IF(ISNUMBER(M190), $B199 * N190, "")</f>
        <v/>
      </c>
      <c r="Q190" s="290"/>
      <c r="R190" s="291"/>
      <c r="S190" s="292"/>
    </row>
    <row r="191" spans="1:19" ht="17.25" thickBot="1">
      <c r="A191" s="124"/>
      <c r="B191" s="125"/>
      <c r="C191" s="73"/>
      <c r="D191" s="125"/>
      <c r="E191" s="73" t="str">
        <f t="shared" si="102"/>
        <v/>
      </c>
      <c r="F191" s="136" t="str">
        <f>IF(ISNUMBER(D191), $B199 * E191, "")</f>
        <v/>
      </c>
      <c r="G191" s="39"/>
      <c r="H191" s="73" t="str">
        <f t="shared" si="103"/>
        <v/>
      </c>
      <c r="I191" s="202" t="str">
        <f>IF(ISNUMBER(G191), $B199 * H191, "")</f>
        <v/>
      </c>
      <c r="J191" s="125"/>
      <c r="K191" s="73" t="str">
        <f t="shared" si="104"/>
        <v/>
      </c>
      <c r="L191" s="136" t="str">
        <f>IF(ISNUMBER(J191), $B199 * K191, "")</f>
        <v/>
      </c>
      <c r="M191" s="39"/>
      <c r="N191" s="73" t="str">
        <f t="shared" si="105"/>
        <v/>
      </c>
      <c r="O191" s="136" t="str">
        <f>IF(ISNUMBER(M191), $B199 * N191, "")</f>
        <v/>
      </c>
      <c r="Q191" s="275"/>
      <c r="R191" s="275"/>
      <c r="S191" s="275"/>
    </row>
    <row r="192" spans="1:19" ht="17.25" thickBot="1">
      <c r="A192" s="124"/>
      <c r="B192" s="125"/>
      <c r="C192" s="73"/>
      <c r="D192" s="125"/>
      <c r="E192" s="73" t="str">
        <f t="shared" si="102"/>
        <v/>
      </c>
      <c r="F192" s="136" t="str">
        <f>IF(ISNUMBER(D192), $B199 * E192, "")</f>
        <v/>
      </c>
      <c r="G192" s="39"/>
      <c r="H192" s="73" t="str">
        <f t="shared" si="103"/>
        <v/>
      </c>
      <c r="I192" s="202" t="str">
        <f>IF(ISNUMBER(G192), $B199 * H192, "")</f>
        <v/>
      </c>
      <c r="J192" s="125"/>
      <c r="K192" s="73" t="str">
        <f t="shared" si="104"/>
        <v/>
      </c>
      <c r="L192" s="136" t="str">
        <f>IF(ISNUMBER(J192), $B199 * K192, "")</f>
        <v/>
      </c>
      <c r="M192" s="39"/>
      <c r="N192" s="73" t="str">
        <f t="shared" si="105"/>
        <v/>
      </c>
      <c r="O192" s="136" t="str">
        <f>IF(ISNUMBER(M192), $B199 * N192, "")</f>
        <v/>
      </c>
      <c r="Q192" s="270"/>
      <c r="R192" s="270"/>
      <c r="S192" s="270"/>
    </row>
    <row r="193" spans="1:19" ht="17.25" thickBot="1">
      <c r="A193" s="126"/>
      <c r="B193" s="127"/>
      <c r="C193" s="74"/>
      <c r="D193" s="127"/>
      <c r="E193" s="74" t="str">
        <f t="shared" si="102"/>
        <v/>
      </c>
      <c r="F193" s="203" t="str">
        <f>IF(ISNUMBER(D193), $B199 * E193, "")</f>
        <v/>
      </c>
      <c r="G193" s="44"/>
      <c r="H193" s="74" t="str">
        <f t="shared" si="103"/>
        <v/>
      </c>
      <c r="I193" s="204" t="str">
        <f>IF(ISNUMBER(G193), $B199 * H193, "")</f>
        <v/>
      </c>
      <c r="J193" s="127"/>
      <c r="K193" s="74" t="str">
        <f t="shared" si="104"/>
        <v/>
      </c>
      <c r="L193" s="203" t="str">
        <f>IF(ISNUMBER(J193), $B199 * K193, "")</f>
        <v/>
      </c>
      <c r="M193" s="44"/>
      <c r="N193" s="74" t="str">
        <f t="shared" si="105"/>
        <v/>
      </c>
      <c r="O193" s="203" t="str">
        <f>IF(ISNUMBER(M193), $B199 * N193, "")</f>
        <v/>
      </c>
      <c r="Q193" s="270"/>
      <c r="R193" s="270"/>
      <c r="S193" s="270"/>
    </row>
    <row r="194" spans="1:19" ht="17.25" thickBot="1">
      <c r="A194" s="124"/>
      <c r="B194" s="128"/>
      <c r="C194" s="76"/>
      <c r="D194" s="128"/>
      <c r="E194" s="76" t="str">
        <f>IF(ISNUMBER(D194), (D194 - $B194) / $B194, "")</f>
        <v/>
      </c>
      <c r="F194" s="205" t="str">
        <f>IF(ISNUMBER(D194), $B199 * E194, "")</f>
        <v/>
      </c>
      <c r="G194" s="45"/>
      <c r="H194" s="76" t="str">
        <f>IF(ISNUMBER(G194), (G194 - $B194) / $B194, "")</f>
        <v/>
      </c>
      <c r="I194" s="206" t="str">
        <f>IF(ISNUMBER(G194), $B199 * H194, "")</f>
        <v/>
      </c>
      <c r="J194" s="128"/>
      <c r="K194" s="76" t="str">
        <f>IF(ISNUMBER(J194), (J194 - $B194) / $B194, "")</f>
        <v/>
      </c>
      <c r="L194" s="205" t="str">
        <f>IF(ISNUMBER(J194), $B199 * K194, "")</f>
        <v/>
      </c>
      <c r="M194" s="45"/>
      <c r="N194" s="76" t="str">
        <f>IF(ISNUMBER(M194), (M194 - $B194) / $B194, "")</f>
        <v/>
      </c>
      <c r="O194" s="205" t="str">
        <f>IF(ISNUMBER(M194), $B199 * N194, "")</f>
        <v/>
      </c>
      <c r="Q194" s="275"/>
      <c r="R194" s="275"/>
      <c r="S194" s="275"/>
    </row>
    <row r="195" spans="1:19" ht="17.25" thickBot="1">
      <c r="A195" s="124"/>
      <c r="B195" s="125"/>
      <c r="C195" s="73"/>
      <c r="D195" s="125"/>
      <c r="E195" s="73" t="str">
        <f t="shared" ref="E195:E198" si="106">IF(ISNUMBER(D195), (D195 - $B195) / $B195, "")</f>
        <v/>
      </c>
      <c r="F195" s="136" t="str">
        <f>IF(ISNUMBER(D195), $B199 * E195, "")</f>
        <v/>
      </c>
      <c r="G195" s="39"/>
      <c r="H195" s="73" t="str">
        <f t="shared" ref="H195:H198" si="107">IF(ISNUMBER(G195), (G195 - $B195) / $B195, "")</f>
        <v/>
      </c>
      <c r="I195" s="202" t="str">
        <f>IF(ISNUMBER(G195), $B199 * H195, "")</f>
        <v/>
      </c>
      <c r="J195" s="125"/>
      <c r="K195" s="73" t="str">
        <f t="shared" ref="K195:K198" si="108">IF(ISNUMBER(J195), (J195 - $B195) / $B195, "")</f>
        <v/>
      </c>
      <c r="L195" s="136" t="str">
        <f>IF(ISNUMBER(J195), $B199 * K195, "")</f>
        <v/>
      </c>
      <c r="M195" s="39"/>
      <c r="N195" s="73" t="str">
        <f t="shared" ref="N195:N198" si="109">IF(ISNUMBER(M195), (M195 - $B195) / $B195, "")</f>
        <v/>
      </c>
      <c r="O195" s="136" t="str">
        <f>IF(ISNUMBER(M195), $B199 * N195, "")</f>
        <v/>
      </c>
      <c r="Q195" s="275"/>
      <c r="R195" s="275"/>
      <c r="S195" s="275"/>
    </row>
    <row r="196" spans="1:19" ht="17.25" thickBot="1">
      <c r="A196" s="124"/>
      <c r="B196" s="125"/>
      <c r="C196" s="73"/>
      <c r="D196" s="125"/>
      <c r="E196" s="73" t="str">
        <f t="shared" si="106"/>
        <v/>
      </c>
      <c r="F196" s="136" t="str">
        <f>IF(ISNUMBER(D196), $B199 * E196, "")</f>
        <v/>
      </c>
      <c r="G196" s="39"/>
      <c r="H196" s="73" t="str">
        <f t="shared" si="107"/>
        <v/>
      </c>
      <c r="I196" s="202" t="str">
        <f>IF(ISNUMBER(G196), $B199 * H196, "")</f>
        <v/>
      </c>
      <c r="J196" s="125"/>
      <c r="K196" s="73" t="str">
        <f t="shared" si="108"/>
        <v/>
      </c>
      <c r="L196" s="136" t="str">
        <f>IF(ISNUMBER(J196), $B199 * K196, "")</f>
        <v/>
      </c>
      <c r="M196" s="39"/>
      <c r="N196" s="73" t="str">
        <f t="shared" si="109"/>
        <v/>
      </c>
      <c r="O196" s="136" t="str">
        <f>IF(ISNUMBER(M196), $B199 * N196, "")</f>
        <v/>
      </c>
      <c r="Q196" s="275"/>
      <c r="R196" s="275"/>
      <c r="S196" s="275"/>
    </row>
    <row r="197" spans="1:19">
      <c r="A197" s="124"/>
      <c r="B197" s="125"/>
      <c r="C197" s="73"/>
      <c r="D197" s="125"/>
      <c r="E197" s="73" t="str">
        <f t="shared" si="106"/>
        <v/>
      </c>
      <c r="F197" s="136" t="str">
        <f>IF(ISNUMBER(D197), $B199 * E197, "")</f>
        <v/>
      </c>
      <c r="G197" s="39"/>
      <c r="H197" s="73" t="str">
        <f t="shared" si="107"/>
        <v/>
      </c>
      <c r="I197" s="202" t="str">
        <f>IF(ISNUMBER(G197), $B199 * H197, "")</f>
        <v/>
      </c>
      <c r="J197" s="125"/>
      <c r="K197" s="73" t="str">
        <f t="shared" si="108"/>
        <v/>
      </c>
      <c r="L197" s="136" t="str">
        <f>IF(ISNUMBER(J197), $B199 * K197, "")</f>
        <v/>
      </c>
      <c r="M197" s="39"/>
      <c r="N197" s="73" t="str">
        <f t="shared" si="109"/>
        <v/>
      </c>
      <c r="O197" s="136" t="str">
        <f>IF(ISNUMBER(M197), $B199 * N197, "")</f>
        <v/>
      </c>
      <c r="Q197" s="297"/>
      <c r="R197" s="298"/>
      <c r="S197" s="299"/>
    </row>
    <row r="198" spans="1:19" ht="17.25" thickBot="1">
      <c r="A198" s="129"/>
      <c r="B198" s="130"/>
      <c r="C198" s="75"/>
      <c r="D198" s="130"/>
      <c r="E198" s="75" t="str">
        <f t="shared" si="106"/>
        <v/>
      </c>
      <c r="F198" s="137" t="str">
        <f>IF(ISNUMBER(D198), $B199 * E198, "")</f>
        <v/>
      </c>
      <c r="G198" s="37"/>
      <c r="H198" s="75" t="str">
        <f t="shared" si="107"/>
        <v/>
      </c>
      <c r="I198" s="207" t="str">
        <f>IF(ISNUMBER(G198), $B199 * H198, "")</f>
        <v/>
      </c>
      <c r="J198" s="130"/>
      <c r="K198" s="75" t="str">
        <f t="shared" si="108"/>
        <v/>
      </c>
      <c r="L198" s="137" t="str">
        <f>IF(ISNUMBER(J198), $B199 * K198, "")</f>
        <v/>
      </c>
      <c r="M198" s="37"/>
      <c r="N198" s="75" t="str">
        <f t="shared" si="109"/>
        <v/>
      </c>
      <c r="O198" s="137" t="str">
        <f>IF(ISNUMBER(M198), $B199 * N198, "")</f>
        <v/>
      </c>
      <c r="Q198" s="300"/>
      <c r="R198" s="301"/>
      <c r="S198" s="302"/>
    </row>
    <row r="199" spans="1:19" ht="17.25" thickBot="1">
      <c r="A199" s="131" t="s">
        <v>301</v>
      </c>
      <c r="B199" s="308">
        <f>$B$37</f>
        <v>150000</v>
      </c>
      <c r="C199" s="309"/>
      <c r="D199" s="131" t="s">
        <v>302</v>
      </c>
      <c r="E199" s="195">
        <f>IF(COUNT(E179:E198), SUM(E179:E198) / COUNT(E179:E198), 0)</f>
        <v>0</v>
      </c>
      <c r="F199" s="208">
        <f>SUM(F179:F198)</f>
        <v>0</v>
      </c>
      <c r="G199" s="131" t="s">
        <v>302</v>
      </c>
      <c r="H199" s="195">
        <f>IF(COUNT(H179:H198), SUM(H179:H198) / COUNT(H179:H198), 0)</f>
        <v>0</v>
      </c>
      <c r="I199" s="208">
        <f>SUM(I179:I198)</f>
        <v>0</v>
      </c>
      <c r="J199" s="131" t="s">
        <v>302</v>
      </c>
      <c r="K199" s="195">
        <f>IF(COUNT(K179:K198), SUM(K179:K198) / COUNT(K179:K198), 0)</f>
        <v>0</v>
      </c>
      <c r="L199" s="208">
        <f>SUM(L179:L198)</f>
        <v>0</v>
      </c>
      <c r="M199" s="131" t="s">
        <v>302</v>
      </c>
      <c r="N199" s="195">
        <f>IF(COUNT(N179:N198), SUM(N179:N198) / COUNT(N179:N198), 0)</f>
        <v>0</v>
      </c>
      <c r="O199" s="208">
        <f>SUM(O179:O198)</f>
        <v>0</v>
      </c>
      <c r="Q199" s="303"/>
      <c r="R199" s="304"/>
      <c r="S199" s="305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3289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88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87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86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285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284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283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282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281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280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279" priority="289">
      <formula>AND($N17 &gt; 0, ISNUMBER($N17))</formula>
    </cfRule>
    <cfRule type="expression" dxfId="3278" priority="290">
      <formula>AND($N17 = 0 * ISNUMBER($N17))</formula>
    </cfRule>
    <cfRule type="expression" dxfId="3277" priority="291">
      <formula>AND($N17 &lt; 0, ISNUMBER($N17))</formula>
    </cfRule>
  </conditionalFormatting>
  <conditionalFormatting sqref="A17:C36 D17:F36">
    <cfRule type="expression" dxfId="3276" priority="298">
      <formula>AND($E17 &gt; 0, ISNUMBER($E17))</formula>
    </cfRule>
    <cfRule type="expression" dxfId="3275" priority="299">
      <formula>AND($E17 = 0 * ISNUMBER($E17))</formula>
    </cfRule>
    <cfRule type="expression" dxfId="3274" priority="300">
      <formula>AND($E17 &lt; 0, ISNUMBER($E17))</formula>
    </cfRule>
  </conditionalFormatting>
  <conditionalFormatting sqref="A17:C36 G17:I36">
    <cfRule type="expression" dxfId="3273" priority="295">
      <formula>AND($H17 &gt; 0, ISNUMBER($H17))</formula>
    </cfRule>
    <cfRule type="expression" dxfId="3272" priority="296">
      <formula>AND($H17 = 0 * ISNUMBER($H17))</formula>
    </cfRule>
    <cfRule type="expression" dxfId="3271" priority="297">
      <formula>AND($H17 &lt; 0, ISNUMBER($H17))</formula>
    </cfRule>
  </conditionalFormatting>
  <conditionalFormatting sqref="A17:C36 J17:L36">
    <cfRule type="expression" dxfId="3270" priority="292">
      <formula>AND($K17 &gt; 0, ISNUMBER($K17))</formula>
    </cfRule>
    <cfRule type="expression" dxfId="3269" priority="293">
      <formula>AND($K17 = 0 * ISNUMBER($K17))</formula>
    </cfRule>
    <cfRule type="expression" dxfId="3268" priority="294">
      <formula>AND($K17 &lt; 0, ISNUMBER($K17))</formula>
    </cfRule>
  </conditionalFormatting>
  <conditionalFormatting sqref="D15:F16 E37:F37">
    <cfRule type="expression" dxfId="3267" priority="286">
      <formula>$E$37 &gt; 0</formula>
    </cfRule>
    <cfRule type="expression" dxfId="3266" priority="287">
      <formula>$E$37 = 0</formula>
    </cfRule>
    <cfRule type="expression" dxfId="3265" priority="288">
      <formula>$E$37 &lt; 0</formula>
    </cfRule>
  </conditionalFormatting>
  <conditionalFormatting sqref="G15:I16 H37:I37">
    <cfRule type="expression" dxfId="3264" priority="283">
      <formula>$H$37 &gt; 0</formula>
    </cfRule>
    <cfRule type="expression" dxfId="3263" priority="284">
      <formula>$H$37 = 0</formula>
    </cfRule>
    <cfRule type="expression" dxfId="3262" priority="285">
      <formula>$H$37 &lt; 0</formula>
    </cfRule>
  </conditionalFormatting>
  <conditionalFormatting sqref="J15:L16 K37:L37">
    <cfRule type="expression" dxfId="3261" priority="280">
      <formula>$K$37 &gt; 0</formula>
    </cfRule>
    <cfRule type="expression" dxfId="3260" priority="281">
      <formula>$K$37 = 0</formula>
    </cfRule>
    <cfRule type="expression" dxfId="3259" priority="282">
      <formula>$K$37 &lt; 0</formula>
    </cfRule>
  </conditionalFormatting>
  <conditionalFormatting sqref="M15:O16 N37:O37">
    <cfRule type="expression" dxfId="3258" priority="277">
      <formula>$N$37 &gt; 0</formula>
    </cfRule>
    <cfRule type="expression" dxfId="3257" priority="278">
      <formula>$N$37 = 0</formula>
    </cfRule>
    <cfRule type="expression" dxfId="3256" priority="279">
      <formula>$N$37 &lt; 0</formula>
    </cfRule>
  </conditionalFormatting>
  <conditionalFormatting sqref="A44:C63 M44:O63">
    <cfRule type="expression" dxfId="3255" priority="265">
      <formula>AND($N44 &gt; 0, ISNUMBER($N44))</formula>
    </cfRule>
    <cfRule type="expression" dxfId="3254" priority="266">
      <formula>AND($N44 = 0 * ISNUMBER($N44))</formula>
    </cfRule>
    <cfRule type="expression" dxfId="3253" priority="267">
      <formula>AND($N44 &lt; 0, ISNUMBER($N44))</formula>
    </cfRule>
  </conditionalFormatting>
  <conditionalFormatting sqref="A44:F63">
    <cfRule type="expression" dxfId="3252" priority="274">
      <formula>AND($E44 &gt; 0, ISNUMBER($E44))</formula>
    </cfRule>
    <cfRule type="expression" dxfId="3251" priority="275">
      <formula>AND($E44 = 0 * ISNUMBER($E44))</formula>
    </cfRule>
    <cfRule type="expression" dxfId="3250" priority="276">
      <formula>AND($E44 &lt; 0, ISNUMBER($E44))</formula>
    </cfRule>
  </conditionalFormatting>
  <conditionalFormatting sqref="A44:C63 G44:I63">
    <cfRule type="expression" dxfId="3249" priority="271">
      <formula>AND($H44 &gt; 0, ISNUMBER($H44))</formula>
    </cfRule>
    <cfRule type="expression" dxfId="3248" priority="272">
      <formula>AND($H44 = 0 * ISNUMBER($H44))</formula>
    </cfRule>
    <cfRule type="expression" dxfId="3247" priority="273">
      <formula>AND($H44 &lt; 0, ISNUMBER($H44))</formula>
    </cfRule>
  </conditionalFormatting>
  <conditionalFormatting sqref="A44:C63 J44:L63">
    <cfRule type="expression" dxfId="3246" priority="268">
      <formula>AND($K44 &gt; 0, ISNUMBER($K44))</formula>
    </cfRule>
    <cfRule type="expression" dxfId="3245" priority="269">
      <formula>AND($K44 = 0 * ISNUMBER($K44))</formula>
    </cfRule>
    <cfRule type="expression" dxfId="3244" priority="270">
      <formula>AND($K44 &lt; 0, ISNUMBER($K44))</formula>
    </cfRule>
  </conditionalFormatting>
  <conditionalFormatting sqref="D42:F43 E64:F64">
    <cfRule type="expression" dxfId="3243" priority="262">
      <formula>$E$64 &gt; 0</formula>
    </cfRule>
    <cfRule type="expression" dxfId="3242" priority="263">
      <formula>$E$64 = 0</formula>
    </cfRule>
    <cfRule type="expression" dxfId="3241" priority="264">
      <formula>$E$64 &lt; 0</formula>
    </cfRule>
  </conditionalFormatting>
  <conditionalFormatting sqref="G42:I43 H64:I64">
    <cfRule type="expression" dxfId="3240" priority="259">
      <formula>$H$64 &gt; 0</formula>
    </cfRule>
    <cfRule type="expression" dxfId="3239" priority="260">
      <formula>$H$64 = 0</formula>
    </cfRule>
    <cfRule type="expression" dxfId="3238" priority="261">
      <formula>$H$64 &lt; 0</formula>
    </cfRule>
  </conditionalFormatting>
  <conditionalFormatting sqref="J42:L43 K64:L64">
    <cfRule type="expression" dxfId="3237" priority="256">
      <formula>$K$64 &gt; 0</formula>
    </cfRule>
    <cfRule type="expression" dxfId="3236" priority="257">
      <formula>$K$64 = 0</formula>
    </cfRule>
    <cfRule type="expression" dxfId="3235" priority="258">
      <formula>$K$64 &lt; 0</formula>
    </cfRule>
  </conditionalFormatting>
  <conditionalFormatting sqref="M42:O43 N64:O64">
    <cfRule type="expression" dxfId="3234" priority="253">
      <formula>$N$64 &gt; 0</formula>
    </cfRule>
    <cfRule type="expression" dxfId="3233" priority="254">
      <formula>$N$64 = 0</formula>
    </cfRule>
    <cfRule type="expression" dxfId="3232" priority="255">
      <formula>$N$64 &lt; 0</formula>
    </cfRule>
  </conditionalFormatting>
  <conditionalFormatting sqref="A71:C90 M71:O90">
    <cfRule type="expression" dxfId="3231" priority="109">
      <formula>AND($N71 &gt; 0, ISNUMBER($N71))</formula>
    </cfRule>
    <cfRule type="expression" dxfId="3230" priority="110">
      <formula>AND($N71 = 0 * ISNUMBER($N71))</formula>
    </cfRule>
    <cfRule type="expression" dxfId="3229" priority="111">
      <formula>AND($N71 &lt; 0, ISNUMBER($N71))</formula>
    </cfRule>
  </conditionalFormatting>
  <conditionalFormatting sqref="A71:F90">
    <cfRule type="expression" dxfId="3228" priority="118">
      <formula>AND($E71 &gt; 0, ISNUMBER($E71))</formula>
    </cfRule>
    <cfRule type="expression" dxfId="3227" priority="119">
      <formula>AND($E71 = 0 * ISNUMBER($E71))</formula>
    </cfRule>
    <cfRule type="expression" dxfId="3226" priority="120">
      <formula>AND($E71 &lt; 0, ISNUMBER($E71))</formula>
    </cfRule>
  </conditionalFormatting>
  <conditionalFormatting sqref="A71:C90 G71:I90">
    <cfRule type="expression" dxfId="3225" priority="115">
      <formula>AND($H71 &gt; 0, ISNUMBER($H71))</formula>
    </cfRule>
    <cfRule type="expression" dxfId="3224" priority="116">
      <formula>AND($H71 = 0 * ISNUMBER($H71))</formula>
    </cfRule>
    <cfRule type="expression" dxfId="3223" priority="117">
      <formula>AND($H71 &lt; 0, ISNUMBER($H71))</formula>
    </cfRule>
  </conditionalFormatting>
  <conditionalFormatting sqref="A71:C90 J71:L90">
    <cfRule type="expression" dxfId="3222" priority="112">
      <formula>AND($K71 &gt; 0, ISNUMBER($K71))</formula>
    </cfRule>
    <cfRule type="expression" dxfId="3221" priority="113">
      <formula>AND($K71 = 0 * ISNUMBER($K71))</formula>
    </cfRule>
    <cfRule type="expression" dxfId="3220" priority="114">
      <formula>AND($K71 &lt; 0, ISNUMBER($K71))</formula>
    </cfRule>
  </conditionalFormatting>
  <conditionalFormatting sqref="D69:F70 E91:F91">
    <cfRule type="expression" dxfId="3219" priority="106">
      <formula>$E$91 &gt; 0</formula>
    </cfRule>
    <cfRule type="expression" dxfId="3218" priority="107">
      <formula>$E$91 = 0</formula>
    </cfRule>
    <cfRule type="expression" dxfId="3217" priority="108">
      <formula>$E$91 &lt; 0</formula>
    </cfRule>
  </conditionalFormatting>
  <conditionalFormatting sqref="G69:I70 H91:I91">
    <cfRule type="expression" dxfId="3216" priority="103">
      <formula>$H$91 &gt; 0</formula>
    </cfRule>
    <cfRule type="expression" dxfId="3215" priority="104">
      <formula>$H$91 = 0</formula>
    </cfRule>
    <cfRule type="expression" dxfId="3214" priority="105">
      <formula>$H$91 &lt; 0</formula>
    </cfRule>
  </conditionalFormatting>
  <conditionalFormatting sqref="J69:L70 K91:L91">
    <cfRule type="expression" dxfId="3213" priority="100">
      <formula>$K$91 &gt; 0</formula>
    </cfRule>
    <cfRule type="expression" dxfId="3212" priority="101">
      <formula>$K$91 = 0</formula>
    </cfRule>
    <cfRule type="expression" dxfId="3211" priority="102">
      <formula>$K$91 &lt; 0</formula>
    </cfRule>
  </conditionalFormatting>
  <conditionalFormatting sqref="M69:O70 N91:O91">
    <cfRule type="expression" dxfId="3210" priority="97">
      <formula>$N$91 &gt; 0</formula>
    </cfRule>
    <cfRule type="expression" dxfId="3209" priority="98">
      <formula>$N$91 = 0</formula>
    </cfRule>
    <cfRule type="expression" dxfId="3208" priority="99">
      <formula>$N$91 &lt; 0</formula>
    </cfRule>
  </conditionalFormatting>
  <conditionalFormatting sqref="A98:C117 M98:O117">
    <cfRule type="expression" dxfId="3207" priority="85">
      <formula>AND($N98 &gt; 0, ISNUMBER($N98))</formula>
    </cfRule>
    <cfRule type="expression" dxfId="3206" priority="86">
      <formula>AND($N98 = 0 * ISNUMBER($N98))</formula>
    </cfRule>
    <cfRule type="expression" dxfId="3205" priority="87">
      <formula>AND($N98 &lt; 0, ISNUMBER($N98))</formula>
    </cfRule>
  </conditionalFormatting>
  <conditionalFormatting sqref="A98:F117">
    <cfRule type="expression" dxfId="3204" priority="94">
      <formula>AND($E98 &gt; 0, ISNUMBER($E98))</formula>
    </cfRule>
    <cfRule type="expression" dxfId="3203" priority="95">
      <formula>AND($E98 = 0 * ISNUMBER($E98))</formula>
    </cfRule>
    <cfRule type="expression" dxfId="3202" priority="96">
      <formula>AND($E98 &lt; 0, ISNUMBER($E98))</formula>
    </cfRule>
  </conditionalFormatting>
  <conditionalFormatting sqref="A98:C117 G98:I117">
    <cfRule type="expression" dxfId="3201" priority="91">
      <formula>AND($H98 &gt; 0, ISNUMBER($H98))</formula>
    </cfRule>
    <cfRule type="expression" dxfId="3200" priority="92">
      <formula>AND($H98 = 0 * ISNUMBER($H98))</formula>
    </cfRule>
    <cfRule type="expression" dxfId="3199" priority="93">
      <formula>AND($H98 &lt; 0, ISNUMBER($H98))</formula>
    </cfRule>
  </conditionalFormatting>
  <conditionalFormatting sqref="A98:C117 J98:L117">
    <cfRule type="expression" dxfId="3198" priority="88">
      <formula>AND($K98 &gt; 0, ISNUMBER($K98))</formula>
    </cfRule>
    <cfRule type="expression" dxfId="3197" priority="89">
      <formula>AND($K98 = 0 * ISNUMBER($K98))</formula>
    </cfRule>
    <cfRule type="expression" dxfId="3196" priority="90">
      <formula>AND($K98 &lt; 0, ISNUMBER($K98))</formula>
    </cfRule>
  </conditionalFormatting>
  <conditionalFormatting sqref="D96:F97 E118:F118">
    <cfRule type="expression" dxfId="3195" priority="82">
      <formula>$E$118 &gt; 0</formula>
    </cfRule>
    <cfRule type="expression" dxfId="3194" priority="83">
      <formula>$E$118 = 0</formula>
    </cfRule>
    <cfRule type="expression" dxfId="3193" priority="84">
      <formula>$E$118 &lt; 0</formula>
    </cfRule>
  </conditionalFormatting>
  <conditionalFormatting sqref="G96:I97 H118:I118">
    <cfRule type="expression" dxfId="3192" priority="79">
      <formula>$H$118 &gt; 0</formula>
    </cfRule>
    <cfRule type="expression" dxfId="3191" priority="80">
      <formula>$H$118 = 0</formula>
    </cfRule>
    <cfRule type="expression" dxfId="3190" priority="81">
      <formula>$H$118 &lt; 0</formula>
    </cfRule>
  </conditionalFormatting>
  <conditionalFormatting sqref="J96:L97 K118:L118">
    <cfRule type="expression" dxfId="3189" priority="76">
      <formula>$K$118 &gt; 0</formula>
    </cfRule>
    <cfRule type="expression" dxfId="3188" priority="77">
      <formula>$K$118 = 0</formula>
    </cfRule>
    <cfRule type="expression" dxfId="3187" priority="78">
      <formula>$K$118 &lt; 0</formula>
    </cfRule>
  </conditionalFormatting>
  <conditionalFormatting sqref="M96:O97 N118:O118">
    <cfRule type="expression" dxfId="3186" priority="73">
      <formula>$N$118 &gt; 0</formula>
    </cfRule>
    <cfRule type="expression" dxfId="3185" priority="74">
      <formula>$N$118 = 0</formula>
    </cfRule>
    <cfRule type="expression" dxfId="3184" priority="75">
      <formula>$N$118 &lt; 0</formula>
    </cfRule>
  </conditionalFormatting>
  <conditionalFormatting sqref="A125:C144 M125:O144">
    <cfRule type="expression" dxfId="3183" priority="61">
      <formula>AND($N125 &gt; 0, ISNUMBER($N125))</formula>
    </cfRule>
    <cfRule type="expression" dxfId="3182" priority="62">
      <formula>AND($N125 = 0 * ISNUMBER($N125))</formula>
    </cfRule>
    <cfRule type="expression" dxfId="3181" priority="63">
      <formula>AND($N125 &lt; 0, ISNUMBER($N125))</formula>
    </cfRule>
  </conditionalFormatting>
  <conditionalFormatting sqref="A125:F144">
    <cfRule type="expression" dxfId="3180" priority="70">
      <formula>AND($E125 &gt; 0, ISNUMBER($E125))</formula>
    </cfRule>
    <cfRule type="expression" dxfId="3179" priority="71">
      <formula>AND($E125 = 0 * ISNUMBER($E125))</formula>
    </cfRule>
    <cfRule type="expression" dxfId="3178" priority="72">
      <formula>AND($E125 &lt; 0, ISNUMBER($E125))</formula>
    </cfRule>
  </conditionalFormatting>
  <conditionalFormatting sqref="A125:C144 G125:I144">
    <cfRule type="expression" dxfId="3177" priority="67">
      <formula>AND($H125 &gt; 0, ISNUMBER($H125))</formula>
    </cfRule>
    <cfRule type="expression" dxfId="3176" priority="68">
      <formula>AND($H125 = 0 * ISNUMBER($H125))</formula>
    </cfRule>
    <cfRule type="expression" dxfId="3175" priority="69">
      <formula>AND($H125 &lt; 0, ISNUMBER($H125))</formula>
    </cfRule>
  </conditionalFormatting>
  <conditionalFormatting sqref="A125:C144 J125:L144">
    <cfRule type="expression" dxfId="3174" priority="64">
      <formula>AND($K125 &gt; 0, ISNUMBER($K125))</formula>
    </cfRule>
    <cfRule type="expression" dxfId="3173" priority="65">
      <formula>AND($K125 = 0 * ISNUMBER($K125))</formula>
    </cfRule>
    <cfRule type="expression" dxfId="3172" priority="66">
      <formula>AND($K125 &lt; 0, ISNUMBER($K125))</formula>
    </cfRule>
  </conditionalFormatting>
  <conditionalFormatting sqref="D123:F124 E145:F145">
    <cfRule type="expression" dxfId="3171" priority="58">
      <formula>$E$145 &gt; 0</formula>
    </cfRule>
    <cfRule type="expression" dxfId="3170" priority="59">
      <formula>$E$145 = 0</formula>
    </cfRule>
    <cfRule type="expression" dxfId="3169" priority="60">
      <formula>$E$145 &lt; 0</formula>
    </cfRule>
  </conditionalFormatting>
  <conditionalFormatting sqref="G123:I124 H145:I145">
    <cfRule type="expression" dxfId="3168" priority="55">
      <formula>$H$145 &gt; 0</formula>
    </cfRule>
    <cfRule type="expression" dxfId="3167" priority="56">
      <formula>$H$145 = 0</formula>
    </cfRule>
    <cfRule type="expression" dxfId="3166" priority="57">
      <formula>$H$145 &lt; 0</formula>
    </cfRule>
  </conditionalFormatting>
  <conditionalFormatting sqref="J123:L124 K145:L145">
    <cfRule type="expression" dxfId="3165" priority="52">
      <formula>$K$145 &gt; 0</formula>
    </cfRule>
    <cfRule type="expression" dxfId="3164" priority="53">
      <formula>$K$145 = 0</formula>
    </cfRule>
    <cfRule type="expression" dxfId="3163" priority="54">
      <formula>$K$145 &lt; 0</formula>
    </cfRule>
  </conditionalFormatting>
  <conditionalFormatting sqref="M123:O124 N145:O145">
    <cfRule type="expression" dxfId="3162" priority="49">
      <formula>$N$145 &gt; 0</formula>
    </cfRule>
    <cfRule type="expression" dxfId="3161" priority="50">
      <formula>$N$145 = 0</formula>
    </cfRule>
    <cfRule type="expression" dxfId="3160" priority="51">
      <formula>$N$145 &lt; 0</formula>
    </cfRule>
  </conditionalFormatting>
  <conditionalFormatting sqref="A152:C171 M152:O171">
    <cfRule type="expression" dxfId="3159" priority="37">
      <formula>AND($N152 &gt; 0, ISNUMBER($N152))</formula>
    </cfRule>
    <cfRule type="expression" dxfId="3158" priority="38">
      <formula>AND($N152 = 0 * ISNUMBER($N152))</formula>
    </cfRule>
    <cfRule type="expression" dxfId="3157" priority="39">
      <formula>AND($N152 &lt; 0, ISNUMBER($N152))</formula>
    </cfRule>
  </conditionalFormatting>
  <conditionalFormatting sqref="A152:F171">
    <cfRule type="expression" dxfId="3156" priority="46">
      <formula>AND($E152 &gt; 0, ISNUMBER($E152))</formula>
    </cfRule>
    <cfRule type="expression" dxfId="3155" priority="47">
      <formula>AND($E152 = 0 * ISNUMBER($E152))</formula>
    </cfRule>
    <cfRule type="expression" dxfId="3154" priority="48">
      <formula>AND($E152 &lt; 0, ISNUMBER($E152))</formula>
    </cfRule>
  </conditionalFormatting>
  <conditionalFormatting sqref="A152:C171 G152:I171">
    <cfRule type="expression" dxfId="3153" priority="43">
      <formula>AND($H152 &gt; 0, ISNUMBER($H152))</formula>
    </cfRule>
    <cfRule type="expression" dxfId="3152" priority="44">
      <formula>AND($H152 = 0 * ISNUMBER($H152))</formula>
    </cfRule>
    <cfRule type="expression" dxfId="3151" priority="45">
      <formula>AND($H152 &lt; 0, ISNUMBER($H152))</formula>
    </cfRule>
  </conditionalFormatting>
  <conditionalFormatting sqref="A152:C171 J152:L171">
    <cfRule type="expression" dxfId="3150" priority="40">
      <formula>AND($K152 &gt; 0, ISNUMBER($K152))</formula>
    </cfRule>
    <cfRule type="expression" dxfId="3149" priority="41">
      <formula>AND($K152 = 0 * ISNUMBER($K152))</formula>
    </cfRule>
    <cfRule type="expression" dxfId="3148" priority="42">
      <formula>AND($K152 &lt; 0, ISNUMBER($K152))</formula>
    </cfRule>
  </conditionalFormatting>
  <conditionalFormatting sqref="D150:F151 E172:F172">
    <cfRule type="expression" dxfId="3147" priority="34">
      <formula>$E$172 &gt; 0</formula>
    </cfRule>
    <cfRule type="expression" dxfId="3146" priority="35">
      <formula>$E$172 = 0</formula>
    </cfRule>
    <cfRule type="expression" dxfId="3145" priority="36">
      <formula>$E$172 &lt; 0</formula>
    </cfRule>
  </conditionalFormatting>
  <conditionalFormatting sqref="G150:I151 H172:I172">
    <cfRule type="expression" dxfId="3144" priority="31">
      <formula>$H$172 &gt; 0</formula>
    </cfRule>
    <cfRule type="expression" dxfId="3143" priority="32">
      <formula>$H$172 = 0</formula>
    </cfRule>
    <cfRule type="expression" dxfId="3142" priority="33">
      <formula>$H$172 &lt; 0</formula>
    </cfRule>
  </conditionalFormatting>
  <conditionalFormatting sqref="J150:L151 K172:L172">
    <cfRule type="expression" dxfId="3141" priority="28">
      <formula>$K$172 &gt; 0</formula>
    </cfRule>
    <cfRule type="expression" dxfId="3140" priority="29">
      <formula>$K$172 = 0</formula>
    </cfRule>
    <cfRule type="expression" dxfId="3139" priority="30">
      <formula>$K$172 &lt; 0</formula>
    </cfRule>
  </conditionalFormatting>
  <conditionalFormatting sqref="M150:O151 N172:O172">
    <cfRule type="expression" dxfId="3138" priority="25">
      <formula>$N$172 &gt; 0</formula>
    </cfRule>
    <cfRule type="expression" dxfId="3137" priority="26">
      <formula>$N$172 = 0</formula>
    </cfRule>
    <cfRule type="expression" dxfId="3136" priority="27">
      <formula>$N$172 &lt; 0</formula>
    </cfRule>
  </conditionalFormatting>
  <conditionalFormatting sqref="A179:C198 M179:O198">
    <cfRule type="expression" dxfId="3135" priority="13">
      <formula>AND($N179 &gt; 0, ISNUMBER($N179))</formula>
    </cfRule>
    <cfRule type="expression" dxfId="3134" priority="14">
      <formula>AND($N179 = 0 * ISNUMBER($N179))</formula>
    </cfRule>
    <cfRule type="expression" dxfId="3133" priority="15">
      <formula>AND($N179 &lt; 0, ISNUMBER($N179))</formula>
    </cfRule>
  </conditionalFormatting>
  <conditionalFormatting sqref="A179:F198">
    <cfRule type="expression" dxfId="3132" priority="22">
      <formula>AND($E179 &gt; 0, ISNUMBER($E179))</formula>
    </cfRule>
    <cfRule type="expression" dxfId="3131" priority="23">
      <formula>AND($E179 = 0 * ISNUMBER($E179))</formula>
    </cfRule>
    <cfRule type="expression" dxfId="3130" priority="24">
      <formula>AND($E179 &lt; 0, ISNUMBER($E179))</formula>
    </cfRule>
  </conditionalFormatting>
  <conditionalFormatting sqref="A179:C198 G179:I198">
    <cfRule type="expression" dxfId="3129" priority="19">
      <formula>AND($H179 &gt; 0, ISNUMBER($H179))</formula>
    </cfRule>
    <cfRule type="expression" dxfId="3128" priority="20">
      <formula>AND($H179 = 0 * ISNUMBER($H179))</formula>
    </cfRule>
    <cfRule type="expression" dxfId="3127" priority="21">
      <formula>AND($H179 &lt; 0, ISNUMBER($H179))</formula>
    </cfRule>
  </conditionalFormatting>
  <conditionalFormatting sqref="A179:C198 J179:L198">
    <cfRule type="expression" dxfId="3126" priority="16">
      <formula>AND($K179 &gt; 0, ISNUMBER($K179))</formula>
    </cfRule>
    <cfRule type="expression" dxfId="3125" priority="17">
      <formula>AND($K179 = 0 * ISNUMBER($K179))</formula>
    </cfRule>
    <cfRule type="expression" dxfId="3124" priority="18">
      <formula>AND($K179 &lt; 0, ISNUMBER($K179))</formula>
    </cfRule>
  </conditionalFormatting>
  <conditionalFormatting sqref="D177:F178 E199:F199">
    <cfRule type="expression" dxfId="3123" priority="10">
      <formula>$E$199 &gt; 0</formula>
    </cfRule>
    <cfRule type="expression" dxfId="3122" priority="11">
      <formula>$E$199 = 0</formula>
    </cfRule>
    <cfRule type="expression" dxfId="3121" priority="12">
      <formula>$E$199 &lt; 0</formula>
    </cfRule>
  </conditionalFormatting>
  <conditionalFormatting sqref="G177:I178 H199:I199">
    <cfRule type="expression" dxfId="3120" priority="7">
      <formula>$H$199 &gt; 0</formula>
    </cfRule>
    <cfRule type="expression" dxfId="3119" priority="8">
      <formula>$H$199 = 0</formula>
    </cfRule>
    <cfRule type="expression" dxfId="3118" priority="9">
      <formula>$H$199 &lt; 0</formula>
    </cfRule>
  </conditionalFormatting>
  <conditionalFormatting sqref="J177:L178 K199:L199">
    <cfRule type="expression" dxfId="3117" priority="4">
      <formula>$K$199 &gt; 0</formula>
    </cfRule>
    <cfRule type="expression" dxfId="3116" priority="5">
      <formula>$K$199 = 0</formula>
    </cfRule>
    <cfRule type="expression" dxfId="3115" priority="6">
      <formula>$K$199 &lt; 0</formula>
    </cfRule>
  </conditionalFormatting>
  <conditionalFormatting sqref="M177:O178 N199:O199">
    <cfRule type="expression" dxfId="3114" priority="1">
      <formula>$N$199 &gt; 0</formula>
    </cfRule>
    <cfRule type="expression" dxfId="3113" priority="2">
      <formula>$N$199 = 0</formula>
    </cfRule>
    <cfRule type="expression" dxfId="31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H5" sqref="H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3" t="s">
        <v>287</v>
      </c>
      <c r="B1" s="65" t="s">
        <v>39</v>
      </c>
      <c r="C1" s="64" t="s">
        <v>37</v>
      </c>
      <c r="D1" s="66" t="s">
        <v>38</v>
      </c>
      <c r="E1" s="87" t="s">
        <v>294</v>
      </c>
    </row>
    <row r="2" spans="1:18" ht="17.25" thickBot="1">
      <c r="A2" s="40" t="s">
        <v>83</v>
      </c>
      <c r="B2" s="11" t="s">
        <v>84</v>
      </c>
      <c r="C2" s="91">
        <v>2810</v>
      </c>
      <c r="D2" s="88">
        <v>0.1353535354</v>
      </c>
      <c r="E2" s="89">
        <v>533694308.04997879</v>
      </c>
      <c r="F2" s="35"/>
      <c r="G2" s="54"/>
      <c r="H2" s="35"/>
      <c r="I2" s="35"/>
    </row>
    <row r="3" spans="1:18" ht="17.25" thickBot="1">
      <c r="A3" s="40" t="s">
        <v>87</v>
      </c>
      <c r="B3" s="11" t="s">
        <v>88</v>
      </c>
      <c r="C3" s="91">
        <v>588</v>
      </c>
      <c r="D3" s="88">
        <v>9.0909090900000003E-2</v>
      </c>
      <c r="E3" s="89">
        <v>524440209.51197821</v>
      </c>
      <c r="F3" s="35"/>
      <c r="G3" s="310" t="s">
        <v>290</v>
      </c>
      <c r="H3" s="331" t="s">
        <v>405</v>
      </c>
      <c r="I3" s="331"/>
      <c r="K3" s="249" t="s">
        <v>34</v>
      </c>
      <c r="L3" s="250"/>
      <c r="M3" s="250"/>
      <c r="N3" s="251"/>
      <c r="O3" s="249" t="s">
        <v>292</v>
      </c>
      <c r="P3" s="250"/>
      <c r="Q3" s="250"/>
      <c r="R3" s="251"/>
    </row>
    <row r="4" spans="1:18" ht="17.25" thickBot="1">
      <c r="A4" s="40" t="s">
        <v>115</v>
      </c>
      <c r="B4" s="11" t="s">
        <v>116</v>
      </c>
      <c r="C4" s="91">
        <v>588</v>
      </c>
      <c r="D4" s="88">
        <v>8.2872928200000001E-2</v>
      </c>
      <c r="E4" s="89">
        <v>82538669.152151495</v>
      </c>
      <c r="F4" s="35"/>
      <c r="G4" s="311"/>
      <c r="H4" s="332"/>
      <c r="I4" s="332"/>
      <c r="K4" s="314" t="s">
        <v>55</v>
      </c>
      <c r="L4" s="335">
        <f ca="1">NOW()</f>
        <v>44332.00507939815</v>
      </c>
      <c r="M4" s="336"/>
      <c r="N4" s="337"/>
      <c r="O4" s="326" t="s">
        <v>55</v>
      </c>
      <c r="P4" s="335">
        <f ca="1">NOW()</f>
        <v>44332.00507939815</v>
      </c>
      <c r="Q4" s="336"/>
      <c r="R4" s="337"/>
    </row>
    <row r="5" spans="1:18" ht="17.25" thickBot="1">
      <c r="A5" s="40" t="s">
        <v>50</v>
      </c>
      <c r="B5" s="11" t="s">
        <v>51</v>
      </c>
      <c r="C5" s="91">
        <v>888</v>
      </c>
      <c r="D5" s="88">
        <v>7.7669902900000004E-2</v>
      </c>
      <c r="E5" s="89">
        <v>396022834.09353095</v>
      </c>
      <c r="F5" s="35"/>
      <c r="K5" s="311"/>
      <c r="L5" s="36" t="s">
        <v>58</v>
      </c>
      <c r="M5" s="69" t="s">
        <v>59</v>
      </c>
      <c r="N5" s="65" t="s">
        <v>294</v>
      </c>
      <c r="O5" s="311"/>
      <c r="P5" s="36" t="s">
        <v>58</v>
      </c>
      <c r="Q5" s="69" t="s">
        <v>59</v>
      </c>
      <c r="R5" s="65" t="s">
        <v>294</v>
      </c>
    </row>
    <row r="6" spans="1:18" ht="17.25" thickBot="1">
      <c r="A6" s="40" t="s">
        <v>73</v>
      </c>
      <c r="B6" s="11" t="s">
        <v>74</v>
      </c>
      <c r="C6" s="91">
        <v>34130</v>
      </c>
      <c r="D6" s="88">
        <v>6.7563340599999994E-2</v>
      </c>
      <c r="E6" s="89">
        <v>1553745.2863393701</v>
      </c>
      <c r="F6" s="35"/>
      <c r="G6" s="249" t="s">
        <v>52</v>
      </c>
      <c r="H6" s="250"/>
      <c r="I6" s="251"/>
      <c r="K6" s="55" t="str">
        <f ca="1">IFERROR(OFFSET(INDIRECT($H$3 &amp; "!A17"), 0, 0), "")</f>
        <v>오브스</v>
      </c>
      <c r="L6" s="38">
        <f t="shared" ref="L6:L24" ca="1" si="0">_xlfn.IFNA(VLOOKUP(K6, $B$2:$E$200, 2, FALSE), "")</f>
        <v>142</v>
      </c>
      <c r="M6" s="72">
        <f t="shared" ref="M6:M25" ca="1" si="1">_xlfn.IFNA(VLOOKUP(K6, $B$2:$E$200, 3, FALSE), "")</f>
        <v>-2.73972603E-2</v>
      </c>
      <c r="N6" s="81">
        <f ca="1">_xlfn.IFNA(VLOOKUP(K6, $B$2:$E$200, 4, FALSE), "")</f>
        <v>80309285.625048608</v>
      </c>
      <c r="O6" s="46" t="str">
        <f>INDEX($A$2:$D$200, MATCH(LARGE($D$2:$D$200, 1), $D$2:$D$200, 0), 2)</f>
        <v>에이다</v>
      </c>
      <c r="P6" s="38">
        <f t="shared" ref="P6:P25" si="2">_xlfn.IFNA(VLOOKUP(O6, $B$2:$D$200, 2, FALSE), "")</f>
        <v>2810</v>
      </c>
      <c r="Q6" s="72">
        <f t="shared" ref="Q6:Q25" si="3">_xlfn.IFNA(VLOOKUP(O6, $B$2:$D$200, 3, FALSE), "")</f>
        <v>0.1353535354</v>
      </c>
      <c r="R6" s="81">
        <f>_xlfn.IFNA(VLOOKUP(O6, $B$2:$E$200, 4, FALSE), "")</f>
        <v>533694308.04997879</v>
      </c>
    </row>
    <row r="7" spans="1:18">
      <c r="A7" s="40" t="s">
        <v>91</v>
      </c>
      <c r="B7" s="11" t="s">
        <v>92</v>
      </c>
      <c r="C7" s="91">
        <v>1835</v>
      </c>
      <c r="D7" s="88">
        <v>6.3768115900000005E-2</v>
      </c>
      <c r="E7" s="89">
        <v>656565416.02944064</v>
      </c>
      <c r="F7" s="35"/>
      <c r="G7" s="258" t="s">
        <v>36</v>
      </c>
      <c r="H7" s="259"/>
      <c r="I7" s="260"/>
      <c r="K7" s="56" t="str">
        <f ca="1">IFERROR(OFFSET(INDIRECT($H$3 &amp; "!A17"), 1, 0), "")</f>
        <v>크립토닷컴체인</v>
      </c>
      <c r="L7" s="39">
        <f t="shared" ca="1" si="0"/>
        <v>199</v>
      </c>
      <c r="M7" s="73">
        <f t="shared" ca="1" si="1"/>
        <v>-1.97044335E-2</v>
      </c>
      <c r="N7" s="82">
        <f t="shared" ref="N7:N25" ca="1" si="4">_xlfn.IFNA(VLOOKUP(K7, $B$2:$E$200, 4, FALSE), "")</f>
        <v>49627546.767749861</v>
      </c>
      <c r="O7" s="47" t="str">
        <f>INDEX($A$2:$D$200, MATCH(LARGE($D$2:$D$200, 2), $D$2:$D$200, 0), 2)</f>
        <v>칠리즈</v>
      </c>
      <c r="P7" s="39">
        <f t="shared" si="2"/>
        <v>588</v>
      </c>
      <c r="Q7" s="73">
        <f t="shared" si="3"/>
        <v>9.0909090900000003E-2</v>
      </c>
      <c r="R7" s="82">
        <f t="shared" ref="R7:R25" si="5">_xlfn.IFNA(VLOOKUP(O7, $B$2:$E$200, 4, FALSE), "")</f>
        <v>524440209.51197821</v>
      </c>
    </row>
    <row r="8" spans="1:18" ht="17.25" thickBot="1">
      <c r="A8" s="40" t="s">
        <v>245</v>
      </c>
      <c r="B8" s="11" t="s">
        <v>246</v>
      </c>
      <c r="C8" s="91">
        <v>346</v>
      </c>
      <c r="D8" s="88">
        <v>5.4878048800000002E-2</v>
      </c>
      <c r="E8" s="89">
        <v>306909751.128295</v>
      </c>
      <c r="F8" s="35"/>
      <c r="G8" s="264"/>
      <c r="H8" s="265"/>
      <c r="I8" s="266"/>
      <c r="K8" s="56" t="str">
        <f ca="1">IFERROR(OFFSET(INDIRECT($H$3 &amp; "!A17"), 2, 0), "")</f>
        <v>룸네트워크</v>
      </c>
      <c r="L8" s="39">
        <f t="shared" ca="1" si="0"/>
        <v>147</v>
      </c>
      <c r="M8" s="73">
        <f t="shared" ca="1" si="1"/>
        <v>-4.5454545499999999E-2</v>
      </c>
      <c r="N8" s="82">
        <f t="shared" ca="1" si="4"/>
        <v>73060247.296256959</v>
      </c>
      <c r="O8" s="47" t="str">
        <f>INDEX($A$2:$D$200, MATCH(LARGE($D$2:$D$200, 3), $D$2:$D$200, 0), 2)</f>
        <v>샌드박스</v>
      </c>
      <c r="P8" s="39">
        <f t="shared" si="2"/>
        <v>588</v>
      </c>
      <c r="Q8" s="73">
        <f t="shared" si="3"/>
        <v>8.2872928200000001E-2</v>
      </c>
      <c r="R8" s="82">
        <f t="shared" si="5"/>
        <v>82538669.152151495</v>
      </c>
    </row>
    <row r="9" spans="1:18" ht="17.25" thickBot="1">
      <c r="A9" s="40" t="s">
        <v>167</v>
      </c>
      <c r="B9" s="11" t="s">
        <v>168</v>
      </c>
      <c r="C9" s="91">
        <v>211</v>
      </c>
      <c r="D9" s="88">
        <v>4.4554455399999998E-2</v>
      </c>
      <c r="E9" s="89">
        <v>784200302.69919455</v>
      </c>
      <c r="F9" s="35"/>
      <c r="G9" s="9" t="s">
        <v>38</v>
      </c>
      <c r="H9" s="250" t="s">
        <v>37</v>
      </c>
      <c r="I9" s="251"/>
      <c r="K9" s="56" t="str">
        <f ca="1">IFERROR(OFFSET(INDIRECT($H$3 &amp; "!A17"), 3, 0), "")</f>
        <v>휴먼스케이프</v>
      </c>
      <c r="L9" s="39">
        <f t="shared" ca="1" si="0"/>
        <v>155</v>
      </c>
      <c r="M9" s="73">
        <f t="shared" ca="1" si="1"/>
        <v>4.0268456399999999E-2</v>
      </c>
      <c r="N9" s="82">
        <f t="shared" ca="1" si="4"/>
        <v>155502081.61877424</v>
      </c>
      <c r="O9" s="47" t="str">
        <f>INDEX($A$2:$D$200, MATCH(LARGE($D$2:$D$200, 4), $D$2:$D$200, 0), 2)</f>
        <v>스텔라루멘</v>
      </c>
      <c r="P9" s="39">
        <f t="shared" si="2"/>
        <v>888</v>
      </c>
      <c r="Q9" s="73">
        <f t="shared" si="3"/>
        <v>7.7669902900000004E-2</v>
      </c>
      <c r="R9" s="82">
        <f t="shared" si="5"/>
        <v>396022834.09353095</v>
      </c>
    </row>
    <row r="10" spans="1:18">
      <c r="A10" s="40" t="s">
        <v>229</v>
      </c>
      <c r="B10" s="11" t="s">
        <v>230</v>
      </c>
      <c r="C10" s="91">
        <v>155</v>
      </c>
      <c r="D10" s="88">
        <v>4.0268456399999999E-2</v>
      </c>
      <c r="E10" s="89">
        <v>155502081.61877424</v>
      </c>
      <c r="F10" s="35"/>
      <c r="G10" s="333">
        <f>_xlfn.IFNA(VLOOKUP(G7, $B$2:$D$200, 3, FALSE), "-")</f>
        <v>-1.4936000099999999E-2</v>
      </c>
      <c r="H10" s="327">
        <f>_xlfn.IFNA(VLOOKUP(G7, $B$2:$D$200, 2, FALSE), "-")</f>
        <v>60874000</v>
      </c>
      <c r="I10" s="328"/>
      <c r="K10" s="58" t="str">
        <f ca="1">IFERROR(OFFSET(INDIRECT($H$3 &amp; "!A17"), 4, 0), "")</f>
        <v>이그니스</v>
      </c>
      <c r="L10" s="44">
        <f t="shared" ca="1" si="0"/>
        <v>151</v>
      </c>
      <c r="M10" s="74">
        <f t="shared" ca="1" si="1"/>
        <v>0</v>
      </c>
      <c r="N10" s="86">
        <f t="shared" ca="1" si="4"/>
        <v>100236104.07215048</v>
      </c>
      <c r="O10" s="47" t="str">
        <f>INDEX($A$2:$D$200, MATCH(LARGE($D$2:$D$200, 5), $D$2:$D$200, 0), 2)</f>
        <v>코스모스</v>
      </c>
      <c r="P10" s="39">
        <f t="shared" si="2"/>
        <v>34130</v>
      </c>
      <c r="Q10" s="73">
        <f t="shared" si="3"/>
        <v>6.7563340599999994E-2</v>
      </c>
      <c r="R10" s="86">
        <f t="shared" si="5"/>
        <v>1553745.2863393701</v>
      </c>
    </row>
    <row r="11" spans="1:18" ht="17.25" thickBot="1">
      <c r="A11" s="40" t="s">
        <v>85</v>
      </c>
      <c r="B11" s="11" t="s">
        <v>86</v>
      </c>
      <c r="C11" s="91">
        <v>14240</v>
      </c>
      <c r="D11" s="88">
        <v>3.0390738099999998E-2</v>
      </c>
      <c r="E11" s="89">
        <v>51410481.499008209</v>
      </c>
      <c r="F11" s="35"/>
      <c r="G11" s="334"/>
      <c r="H11" s="329"/>
      <c r="I11" s="330"/>
      <c r="K11" s="56" t="str">
        <f ca="1">IFERROR(OFFSET(INDIRECT($H$3 &amp; "!A17"), 5, 0), "")</f>
        <v>모스코인</v>
      </c>
      <c r="L11" s="39">
        <f t="shared" ca="1" si="0"/>
        <v>157</v>
      </c>
      <c r="M11" s="73">
        <f t="shared" ca="1" si="1"/>
        <v>-7.1005917200000004E-2</v>
      </c>
      <c r="N11" s="95">
        <f t="shared" ca="1" si="4"/>
        <v>37981617.26199533</v>
      </c>
      <c r="O11" s="49" t="str">
        <f>INDEX($A$2:$D$200, MATCH(LARGE($D$2:$D$200, 6), $D$2:$D$200, 0), 2)</f>
        <v>리플</v>
      </c>
      <c r="P11" s="45">
        <f t="shared" si="2"/>
        <v>1835</v>
      </c>
      <c r="Q11" s="76">
        <f t="shared" si="3"/>
        <v>6.3768115900000005E-2</v>
      </c>
      <c r="R11" s="95">
        <f t="shared" si="5"/>
        <v>656565416.02944064</v>
      </c>
    </row>
    <row r="12" spans="1:18" ht="17.25" thickBot="1">
      <c r="A12" s="40" t="s">
        <v>219</v>
      </c>
      <c r="B12" s="11" t="s">
        <v>220</v>
      </c>
      <c r="C12" s="91">
        <v>18.399999999999999</v>
      </c>
      <c r="D12" s="88">
        <v>2.2222222199999999E-2</v>
      </c>
      <c r="E12" s="89">
        <v>2657865152.620266</v>
      </c>
      <c r="F12" s="35"/>
      <c r="K12" s="56" t="str">
        <f ca="1">IFERROR(OFFSET(INDIRECT($H$3 &amp; "!A17"), 6, 0), "")</f>
        <v>헌트</v>
      </c>
      <c r="L12" s="39">
        <f t="shared" ca="1" si="0"/>
        <v>346</v>
      </c>
      <c r="M12" s="73">
        <f t="shared" ca="1" si="1"/>
        <v>5.4878048800000002E-2</v>
      </c>
      <c r="N12" s="82">
        <f t="shared" ca="1" si="4"/>
        <v>306909751.128295</v>
      </c>
      <c r="O12" s="47" t="str">
        <f>INDEX($A$2:$D$200, MATCH(LARGE($D$2:$D$200, 7), $D$2:$D$200, 0), 2)</f>
        <v>헌트</v>
      </c>
      <c r="P12" s="39">
        <f t="shared" si="2"/>
        <v>346</v>
      </c>
      <c r="Q12" s="73">
        <f t="shared" si="3"/>
        <v>5.4878048800000002E-2</v>
      </c>
      <c r="R12" s="82">
        <f t="shared" si="5"/>
        <v>306909751.128295</v>
      </c>
    </row>
    <row r="13" spans="1:18" ht="17.25" thickBot="1">
      <c r="A13" s="40" t="s">
        <v>205</v>
      </c>
      <c r="B13" s="11" t="s">
        <v>206</v>
      </c>
      <c r="C13" s="91">
        <v>31500</v>
      </c>
      <c r="D13" s="88">
        <v>2.1732079099999999E-2</v>
      </c>
      <c r="E13" s="89">
        <v>689715.62758766999</v>
      </c>
      <c r="F13" s="35"/>
      <c r="G13" s="249" t="s">
        <v>70</v>
      </c>
      <c r="H13" s="250"/>
      <c r="I13" s="251"/>
      <c r="K13" s="56" t="str">
        <f ca="1">IFERROR(OFFSET(INDIRECT($H$3 &amp; "!A17"), 7, 0), "")</f>
        <v>아르고</v>
      </c>
      <c r="L13" s="39">
        <f t="shared" ca="1" si="0"/>
        <v>305</v>
      </c>
      <c r="M13" s="73">
        <f t="shared" ca="1" si="1"/>
        <v>-2.5559105400000001E-2</v>
      </c>
      <c r="N13" s="82">
        <f t="shared" ca="1" si="4"/>
        <v>12543910.28568789</v>
      </c>
      <c r="O13" s="47" t="str">
        <f>INDEX($A$2:$D$200, MATCH(LARGE($D$2:$D$200, 8), $D$2:$D$200, 0), 2)</f>
        <v>스테이터스네트워크토큰</v>
      </c>
      <c r="P13" s="39">
        <f t="shared" si="2"/>
        <v>211</v>
      </c>
      <c r="Q13" s="73">
        <f t="shared" si="3"/>
        <v>4.4554455399999998E-2</v>
      </c>
      <c r="R13" s="82">
        <f t="shared" si="5"/>
        <v>784200302.69919455</v>
      </c>
    </row>
    <row r="14" spans="1:18">
      <c r="A14" s="40" t="s">
        <v>225</v>
      </c>
      <c r="B14" s="11" t="s">
        <v>226</v>
      </c>
      <c r="C14" s="91">
        <v>446</v>
      </c>
      <c r="D14" s="88">
        <v>2.0594965699999999E-2</v>
      </c>
      <c r="E14" s="89">
        <v>104379599.81472524</v>
      </c>
      <c r="F14" s="35"/>
      <c r="G14" s="258" t="s">
        <v>36</v>
      </c>
      <c r="H14" s="259"/>
      <c r="I14" s="260"/>
      <c r="K14" s="56" t="str">
        <f ca="1">IFERROR(OFFSET(INDIRECT($H$3 &amp; "!A17"), 8, 0), "")</f>
        <v>센티넬프로토콜</v>
      </c>
      <c r="L14" s="39">
        <f t="shared" ca="1" si="0"/>
        <v>151</v>
      </c>
      <c r="M14" s="73">
        <f t="shared" ca="1" si="1"/>
        <v>-1.30718954E-2</v>
      </c>
      <c r="N14" s="82">
        <f t="shared" ca="1" si="4"/>
        <v>72464061.377674907</v>
      </c>
      <c r="O14" s="47" t="str">
        <f>INDEX($A$2:$D$200, MATCH(LARGE($D$2:$D$200, 9), $D$2:$D$200, 0), 2)</f>
        <v>휴먼스케이프</v>
      </c>
      <c r="P14" s="39">
        <f t="shared" si="2"/>
        <v>155</v>
      </c>
      <c r="Q14" s="73">
        <f t="shared" si="3"/>
        <v>4.0268456399999999E-2</v>
      </c>
      <c r="R14" s="82">
        <f t="shared" si="5"/>
        <v>155502081.61877424</v>
      </c>
    </row>
    <row r="15" spans="1:18" ht="17.25" thickBot="1">
      <c r="A15" s="40" t="s">
        <v>209</v>
      </c>
      <c r="B15" s="11" t="s">
        <v>210</v>
      </c>
      <c r="C15" s="91">
        <v>171</v>
      </c>
      <c r="D15" s="88">
        <v>1.7857142900000001E-2</v>
      </c>
      <c r="E15" s="89">
        <v>142642306.33189583</v>
      </c>
      <c r="F15" s="35"/>
      <c r="G15" s="264"/>
      <c r="H15" s="265"/>
      <c r="I15" s="266"/>
      <c r="K15" s="57" t="str">
        <f ca="1">IFERROR(OFFSET(INDIRECT($H$3 &amp; "!A17"), 9, 0), "")</f>
        <v>보라</v>
      </c>
      <c r="L15" s="37">
        <f t="shared" ca="1" si="0"/>
        <v>243</v>
      </c>
      <c r="M15" s="75">
        <f t="shared" ca="1" si="1"/>
        <v>-5.4474708199999999E-2</v>
      </c>
      <c r="N15" s="83">
        <f t="shared" ca="1" si="4"/>
        <v>25224391.41620988</v>
      </c>
      <c r="O15" s="48" t="str">
        <f>INDEX($A$2:$D$200, MATCH(LARGE($D$2:$D$200, 10), $D$2:$D$200, 0), 2)</f>
        <v>이오스</v>
      </c>
      <c r="P15" s="37">
        <f t="shared" si="2"/>
        <v>14240</v>
      </c>
      <c r="Q15" s="75">
        <f t="shared" si="3"/>
        <v>3.0390738099999998E-2</v>
      </c>
      <c r="R15" s="83">
        <f t="shared" si="5"/>
        <v>51410481.499008209</v>
      </c>
    </row>
    <row r="16" spans="1:18" ht="17.25" thickBot="1">
      <c r="A16" s="40" t="s">
        <v>259</v>
      </c>
      <c r="B16" s="11" t="s">
        <v>260</v>
      </c>
      <c r="C16" s="91">
        <v>131</v>
      </c>
      <c r="D16" s="88">
        <v>1.5503876E-2</v>
      </c>
      <c r="E16" s="89">
        <v>1573271175.2892375</v>
      </c>
      <c r="F16" s="35"/>
      <c r="G16" s="9" t="s">
        <v>38</v>
      </c>
      <c r="H16" s="250" t="s">
        <v>37</v>
      </c>
      <c r="I16" s="251"/>
      <c r="K16" s="55" t="str">
        <f ca="1">IFERROR(OFFSET(INDIRECT($H$3 &amp; "!A17"), 10, 0), "")</f>
        <v>디카르고</v>
      </c>
      <c r="L16" s="38">
        <f t="shared" ca="1" si="0"/>
        <v>226</v>
      </c>
      <c r="M16" s="72">
        <f t="shared" ca="1" si="1"/>
        <v>-3.4188034200000002E-2</v>
      </c>
      <c r="N16" s="81">
        <f t="shared" ca="1" si="4"/>
        <v>46547070.56972038</v>
      </c>
      <c r="O16" s="46" t="str">
        <f>INDEX($A$2:$D$200, MATCH(LARGE($D$2:$D$200, 11), $D$2:$D$200, 0), 2)</f>
        <v>메인프레임</v>
      </c>
      <c r="P16" s="38">
        <f t="shared" si="2"/>
        <v>18.399999999999999</v>
      </c>
      <c r="Q16" s="72">
        <f t="shared" si="3"/>
        <v>2.2222222199999999E-2</v>
      </c>
      <c r="R16" s="81">
        <f t="shared" si="5"/>
        <v>2657865152.620266</v>
      </c>
    </row>
    <row r="17" spans="1:18">
      <c r="A17" s="40" t="s">
        <v>125</v>
      </c>
      <c r="B17" s="11" t="s">
        <v>126</v>
      </c>
      <c r="C17" s="91">
        <v>49.7</v>
      </c>
      <c r="D17" s="88">
        <v>2.0161290000000002E-3</v>
      </c>
      <c r="E17" s="89">
        <v>495343034.2513895</v>
      </c>
      <c r="F17" s="35"/>
      <c r="G17" s="333">
        <f>_xlfn.IFNA(VLOOKUP(G14, $B$2:$D$200, 3, FALSE), "-")</f>
        <v>-1.4936000099999999E-2</v>
      </c>
      <c r="H17" s="327">
        <f>_xlfn.IFNA(VLOOKUP(G14, $B$2:$D$200, 2, FALSE), "-")</f>
        <v>60874000</v>
      </c>
      <c r="I17" s="328"/>
      <c r="K17" s="56" t="str">
        <f ca="1">IFERROR(OFFSET(INDIRECT($H$3 &amp; "!A17"), 11, 0), "")</f>
        <v>픽셀</v>
      </c>
      <c r="L17" s="39">
        <f t="shared" ca="1" si="0"/>
        <v>102</v>
      </c>
      <c r="M17" s="73">
        <f t="shared" ca="1" si="1"/>
        <v>-3.7735849100000003E-2</v>
      </c>
      <c r="N17" s="82">
        <f t="shared" ca="1" si="4"/>
        <v>82339193.967049837</v>
      </c>
      <c r="O17" s="47" t="str">
        <f>INDEX($A$2:$D$200, MATCH(LARGE($D$2:$D$200, 12), $D$2:$D$200, 0), 2)</f>
        <v>플로우</v>
      </c>
      <c r="P17" s="39">
        <f t="shared" si="2"/>
        <v>31500</v>
      </c>
      <c r="Q17" s="73">
        <f t="shared" si="3"/>
        <v>2.1732079099999999E-2</v>
      </c>
      <c r="R17" s="82">
        <f t="shared" si="5"/>
        <v>689715.62758766999</v>
      </c>
    </row>
    <row r="18" spans="1:18" ht="17.25" thickBot="1">
      <c r="A18" s="40" t="s">
        <v>56</v>
      </c>
      <c r="B18" s="11" t="s">
        <v>57</v>
      </c>
      <c r="C18" s="91">
        <v>395</v>
      </c>
      <c r="D18" s="88">
        <v>0</v>
      </c>
      <c r="E18" s="89">
        <v>67814827.305056289</v>
      </c>
      <c r="F18" s="35"/>
      <c r="G18" s="334"/>
      <c r="H18" s="329"/>
      <c r="I18" s="330"/>
      <c r="K18" s="56" t="str">
        <f ca="1">IFERROR(OFFSET(INDIRECT($H$3 &amp; "!A17"), 12, 0), "")</f>
        <v>메타디움</v>
      </c>
      <c r="L18" s="39">
        <f t="shared" ca="1" si="0"/>
        <v>163</v>
      </c>
      <c r="M18" s="73">
        <f t="shared" ca="1" si="1"/>
        <v>-4.1176470600000001E-2</v>
      </c>
      <c r="N18" s="82">
        <f t="shared" ca="1" si="4"/>
        <v>67675728.055512086</v>
      </c>
      <c r="O18" s="47" t="str">
        <f>INDEX($A$2:$D$200, MATCH(LARGE($D$2:$D$200, 13), $D$2:$D$200, 0), 2)</f>
        <v>플레이댑</v>
      </c>
      <c r="P18" s="39">
        <f t="shared" si="2"/>
        <v>446</v>
      </c>
      <c r="Q18" s="73">
        <f t="shared" si="3"/>
        <v>2.0594965699999999E-2</v>
      </c>
      <c r="R18" s="82">
        <f t="shared" si="5"/>
        <v>104379599.81472524</v>
      </c>
    </row>
    <row r="19" spans="1:18" ht="17.25" thickBot="1">
      <c r="A19" s="40" t="s">
        <v>155</v>
      </c>
      <c r="B19" s="11" t="s">
        <v>156</v>
      </c>
      <c r="C19" s="91">
        <v>154</v>
      </c>
      <c r="D19" s="88">
        <v>0</v>
      </c>
      <c r="E19" s="89">
        <v>377771134.06171662</v>
      </c>
      <c r="F19" s="35"/>
      <c r="K19" s="56" t="str">
        <f ca="1">IFERROR(OFFSET(INDIRECT($H$3 &amp; "!A17"), 13, 0), "")</f>
        <v>솔브케어</v>
      </c>
      <c r="L19" s="39">
        <f t="shared" ca="1" si="0"/>
        <v>243</v>
      </c>
      <c r="M19" s="73">
        <f t="shared" ca="1" si="1"/>
        <v>-1.2195121999999999E-2</v>
      </c>
      <c r="N19" s="82">
        <f t="shared" ca="1" si="4"/>
        <v>19256372.502526872</v>
      </c>
      <c r="O19" s="47" t="str">
        <f>INDEX($A$2:$D$200, MATCH(LARGE($D$2:$D$200, 14), $D$2:$D$200, 0), 2)</f>
        <v>피르마체인</v>
      </c>
      <c r="P19" s="39">
        <f t="shared" si="2"/>
        <v>171</v>
      </c>
      <c r="Q19" s="73">
        <f t="shared" si="3"/>
        <v>1.7857142900000001E-2</v>
      </c>
      <c r="R19" s="82">
        <f t="shared" si="5"/>
        <v>142642306.33189583</v>
      </c>
    </row>
    <row r="20" spans="1:18" ht="17.25" thickBot="1">
      <c r="A20" s="40" t="s">
        <v>281</v>
      </c>
      <c r="B20" s="11" t="s">
        <v>282</v>
      </c>
      <c r="C20" s="91">
        <v>151</v>
      </c>
      <c r="D20" s="88">
        <v>0</v>
      </c>
      <c r="E20" s="89">
        <v>100236104.07215048</v>
      </c>
      <c r="F20" s="35"/>
      <c r="G20" s="249" t="s">
        <v>286</v>
      </c>
      <c r="H20" s="250"/>
      <c r="I20" s="251"/>
      <c r="K20" s="58" t="str">
        <f ca="1">IFERROR(OFFSET(INDIRECT($H$3 &amp; "!A17"), 14, 0), "")</f>
        <v>피르마체인</v>
      </c>
      <c r="L20" s="44">
        <f t="shared" ca="1" si="0"/>
        <v>171</v>
      </c>
      <c r="M20" s="74">
        <f t="shared" ca="1" si="1"/>
        <v>1.7857142900000001E-2</v>
      </c>
      <c r="N20" s="86">
        <f t="shared" ca="1" si="4"/>
        <v>142642306.33189583</v>
      </c>
      <c r="O20" s="47" t="str">
        <f>INDEX($A$2:$D$200, MATCH(LARGE($D$2:$D$200, 15), $D$2:$D$200, 0), 2)</f>
        <v>썸씽</v>
      </c>
      <c r="P20" s="39">
        <f t="shared" si="2"/>
        <v>131</v>
      </c>
      <c r="Q20" s="73">
        <f t="shared" si="3"/>
        <v>1.5503876E-2</v>
      </c>
      <c r="R20" s="86">
        <f t="shared" si="5"/>
        <v>1573271175.2892375</v>
      </c>
    </row>
    <row r="21" spans="1:18">
      <c r="A21" s="40" t="s">
        <v>89</v>
      </c>
      <c r="B21" s="11" t="s">
        <v>90</v>
      </c>
      <c r="C21" s="91">
        <v>413500</v>
      </c>
      <c r="D21" s="88">
        <v>-1.2090439999999999E-4</v>
      </c>
      <c r="E21" s="89">
        <v>41938.20278367</v>
      </c>
      <c r="F21" s="35"/>
      <c r="G21" s="258" t="s">
        <v>36</v>
      </c>
      <c r="H21" s="259"/>
      <c r="I21" s="260"/>
      <c r="K21" s="56" t="str">
        <f ca="1">IFERROR(OFFSET(INDIRECT($H$3 &amp; "!A17"), 15, 0), "")</f>
        <v>메디블록</v>
      </c>
      <c r="L21" s="39">
        <f t="shared" ca="1" si="0"/>
        <v>123</v>
      </c>
      <c r="M21" s="73">
        <f t="shared" ca="1" si="1"/>
        <v>-3.90625E-2</v>
      </c>
      <c r="N21" s="95">
        <f t="shared" ca="1" si="4"/>
        <v>299496467.05556184</v>
      </c>
      <c r="O21" s="49" t="str">
        <f>INDEX($A$2:$D$200, MATCH(LARGE($D$2:$D$200, 16), $D$2:$D$200, 0), 2)</f>
        <v>스톰엑스</v>
      </c>
      <c r="P21" s="45">
        <f t="shared" si="2"/>
        <v>49.7</v>
      </c>
      <c r="Q21" s="76">
        <f t="shared" si="3"/>
        <v>2.0161290000000002E-3</v>
      </c>
      <c r="R21" s="95">
        <f t="shared" si="5"/>
        <v>495343034.2513895</v>
      </c>
    </row>
    <row r="22" spans="1:18" ht="17.25" thickBot="1">
      <c r="A22" s="40" t="s">
        <v>101</v>
      </c>
      <c r="B22" s="11" t="s">
        <v>102</v>
      </c>
      <c r="C22" s="91">
        <v>127600</v>
      </c>
      <c r="D22" s="88">
        <v>-2.7354434999999999E-3</v>
      </c>
      <c r="E22" s="89">
        <v>15118044.387468779</v>
      </c>
      <c r="F22" s="35"/>
      <c r="G22" s="264"/>
      <c r="H22" s="265"/>
      <c r="I22" s="266"/>
      <c r="K22" s="56" t="str">
        <f ca="1">IFERROR(OFFSET(INDIRECT($H$3 &amp; "!A17"), 16, 0), "")</f>
        <v>플레이댑</v>
      </c>
      <c r="L22" s="39">
        <f t="shared" ca="1" si="0"/>
        <v>446</v>
      </c>
      <c r="M22" s="73">
        <f t="shared" ca="1" si="1"/>
        <v>2.0594965699999999E-2</v>
      </c>
      <c r="N22" s="82">
        <f t="shared" ca="1" si="4"/>
        <v>104379599.81472524</v>
      </c>
      <c r="O22" s="47" t="str">
        <f>INDEX($A$2:$D$200, MATCH(LARGE($D$2:$D$200, 17), $D$2:$D$200, 0), 2)</f>
        <v>넴</v>
      </c>
      <c r="P22" s="39">
        <f t="shared" si="2"/>
        <v>395</v>
      </c>
      <c r="Q22" s="73">
        <f t="shared" si="3"/>
        <v>0</v>
      </c>
      <c r="R22" s="82">
        <f t="shared" si="5"/>
        <v>67814827.305056289</v>
      </c>
    </row>
    <row r="23" spans="1:18" ht="17.25" thickBot="1">
      <c r="A23" s="40" t="s">
        <v>137</v>
      </c>
      <c r="B23" s="11" t="s">
        <v>138</v>
      </c>
      <c r="C23" s="91">
        <v>58900</v>
      </c>
      <c r="D23" s="88">
        <v>-5.2356021000000003E-3</v>
      </c>
      <c r="E23" s="89">
        <v>6144917.4011686696</v>
      </c>
      <c r="F23" s="35"/>
      <c r="G23" s="9" t="s">
        <v>38</v>
      </c>
      <c r="H23" s="250" t="s">
        <v>37</v>
      </c>
      <c r="I23" s="251"/>
      <c r="K23" s="56" t="str">
        <f ca="1">IFERROR(OFFSET(INDIRECT($H$3 &amp; "!A17"), 17, 0), "")</f>
        <v>엔도르</v>
      </c>
      <c r="L23" s="39">
        <f t="shared" ca="1" si="0"/>
        <v>70.7</v>
      </c>
      <c r="M23" s="73">
        <f t="shared" ca="1" si="1"/>
        <v>-2.7510316399999998E-2</v>
      </c>
      <c r="N23" s="82">
        <f t="shared" ca="1" si="4"/>
        <v>1160036204.7035651</v>
      </c>
      <c r="O23" s="47" t="str">
        <f>INDEX($A$2:$D$200, MATCH(LARGE($D$2:$D$200, 18), $D$2:$D$200, 0), 2)</f>
        <v>넴</v>
      </c>
      <c r="P23" s="39">
        <f t="shared" si="2"/>
        <v>395</v>
      </c>
      <c r="Q23" s="73">
        <f t="shared" si="3"/>
        <v>0</v>
      </c>
      <c r="R23" s="82">
        <f t="shared" si="5"/>
        <v>67814827.305056289</v>
      </c>
    </row>
    <row r="24" spans="1:18">
      <c r="A24" s="40" t="s">
        <v>215</v>
      </c>
      <c r="B24" s="11" t="s">
        <v>216</v>
      </c>
      <c r="C24" s="91">
        <v>438</v>
      </c>
      <c r="D24" s="88">
        <v>-1.12866817E-2</v>
      </c>
      <c r="E24" s="89">
        <v>17192659.376940109</v>
      </c>
      <c r="F24" s="35"/>
      <c r="G24" s="333">
        <f>_xlfn.IFNA(VLOOKUP(G21, $B$2:$D$200, 3, FALSE), "-")</f>
        <v>-1.4936000099999999E-2</v>
      </c>
      <c r="H24" s="327">
        <f>_xlfn.IFNA(VLOOKUP(G21, $B$2:$D$200, 2, FALSE), "-")</f>
        <v>60874000</v>
      </c>
      <c r="I24" s="328"/>
      <c r="K24" s="56">
        <f ca="1">IFERROR(OFFSET(INDIRECT($H$3 &amp; "!A17"), 18, 0), "")</f>
        <v>0</v>
      </c>
      <c r="L24" s="39" t="str">
        <f t="shared" ca="1" si="0"/>
        <v/>
      </c>
      <c r="M24" s="73" t="str">
        <f t="shared" ca="1" si="1"/>
        <v/>
      </c>
      <c r="N24" s="82" t="str">
        <f t="shared" ca="1" si="4"/>
        <v/>
      </c>
      <c r="O24" s="47" t="str">
        <f>INDEX($A$2:$D$200, MATCH(LARGE($D$2:$D$200, 19), $D$2:$D$200, 0), 2)</f>
        <v>넴</v>
      </c>
      <c r="P24" s="39">
        <f t="shared" si="2"/>
        <v>395</v>
      </c>
      <c r="Q24" s="73">
        <f t="shared" si="3"/>
        <v>0</v>
      </c>
      <c r="R24" s="82">
        <f t="shared" si="5"/>
        <v>67814827.305056289</v>
      </c>
    </row>
    <row r="25" spans="1:18" ht="17.25" thickBot="1">
      <c r="A25" s="40" t="s">
        <v>237</v>
      </c>
      <c r="B25" s="11" t="s">
        <v>238</v>
      </c>
      <c r="C25" s="91">
        <v>243</v>
      </c>
      <c r="D25" s="88">
        <v>-1.2195121999999999E-2</v>
      </c>
      <c r="E25" s="89">
        <v>19256372.502526872</v>
      </c>
      <c r="F25" s="35"/>
      <c r="G25" s="334"/>
      <c r="H25" s="329"/>
      <c r="I25" s="330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5" t="str">
        <f t="shared" ca="1" si="1"/>
        <v/>
      </c>
      <c r="N25" s="83" t="str">
        <f t="shared" ca="1" si="4"/>
        <v/>
      </c>
      <c r="O25" s="48" t="str">
        <f>INDEX($A$2:$D$200, MATCH(LARGE($D$2:$D$200, 20), $D$2:$D$200, 0), 2)</f>
        <v>비트코인에스브이</v>
      </c>
      <c r="P25" s="37">
        <f t="shared" si="2"/>
        <v>413500</v>
      </c>
      <c r="Q25" s="75">
        <f t="shared" si="3"/>
        <v>-1.2090439999999999E-4</v>
      </c>
      <c r="R25" s="83">
        <f t="shared" si="5"/>
        <v>41938.20278367</v>
      </c>
    </row>
    <row r="26" spans="1:18">
      <c r="A26" s="40" t="s">
        <v>231</v>
      </c>
      <c r="B26" s="11" t="s">
        <v>232</v>
      </c>
      <c r="C26" s="91">
        <v>151</v>
      </c>
      <c r="D26" s="88">
        <v>-1.30718954E-2</v>
      </c>
      <c r="E26" s="89">
        <v>72464061.377674907</v>
      </c>
      <c r="F26" s="35"/>
    </row>
    <row r="27" spans="1:18" ht="17.25" thickBot="1">
      <c r="A27" s="40" t="s">
        <v>277</v>
      </c>
      <c r="B27" s="11" t="s">
        <v>278</v>
      </c>
      <c r="C27" s="91">
        <v>139</v>
      </c>
      <c r="D27" s="88">
        <v>-1.4184397200000001E-2</v>
      </c>
      <c r="E27" s="89">
        <v>26504988.700772692</v>
      </c>
      <c r="F27" s="35"/>
    </row>
    <row r="28" spans="1:18" ht="17.25" thickBot="1">
      <c r="A28" s="40" t="s">
        <v>117</v>
      </c>
      <c r="B28" s="11" t="s">
        <v>118</v>
      </c>
      <c r="C28" s="91">
        <v>6830</v>
      </c>
      <c r="D28" s="88">
        <v>-1.44300144E-2</v>
      </c>
      <c r="E28" s="89">
        <v>779955.60942640004</v>
      </c>
      <c r="F28" s="35"/>
      <c r="G28" s="249" t="s">
        <v>46</v>
      </c>
      <c r="H28" s="250"/>
      <c r="I28" s="250"/>
      <c r="J28" s="251"/>
      <c r="K28" s="249" t="s">
        <v>44</v>
      </c>
      <c r="L28" s="250"/>
      <c r="M28" s="250"/>
      <c r="N28" s="251"/>
      <c r="O28" s="249" t="s">
        <v>45</v>
      </c>
      <c r="P28" s="250"/>
      <c r="Q28" s="250"/>
      <c r="R28" s="251"/>
    </row>
    <row r="29" spans="1:18" ht="17.25" thickBot="1">
      <c r="A29" s="40" t="s">
        <v>48</v>
      </c>
      <c r="B29" s="11" t="s">
        <v>49</v>
      </c>
      <c r="C29" s="91">
        <v>60874000</v>
      </c>
      <c r="D29" s="88">
        <v>-1.4936000099999999E-2</v>
      </c>
      <c r="E29" s="89">
        <v>12542.28582714</v>
      </c>
      <c r="F29" s="35"/>
      <c r="G29" s="314" t="s">
        <v>55</v>
      </c>
      <c r="H29" s="335">
        <f ca="1">NOW()</f>
        <v>44332.00507939815</v>
      </c>
      <c r="I29" s="336"/>
      <c r="J29" s="337"/>
      <c r="K29" s="326" t="s">
        <v>55</v>
      </c>
      <c r="L29" s="335">
        <f ca="1">NOW()</f>
        <v>44332.00507939815</v>
      </c>
      <c r="M29" s="336"/>
      <c r="N29" s="337"/>
      <c r="O29" s="326" t="s">
        <v>55</v>
      </c>
      <c r="P29" s="335">
        <f ca="1">NOW()</f>
        <v>44332.00507939815</v>
      </c>
      <c r="Q29" s="336"/>
      <c r="R29" s="337"/>
    </row>
    <row r="30" spans="1:18" ht="17.25" thickBot="1">
      <c r="A30" s="40" t="s">
        <v>60</v>
      </c>
      <c r="B30" s="11" t="s">
        <v>61</v>
      </c>
      <c r="C30" s="91">
        <v>1570</v>
      </c>
      <c r="D30" s="88">
        <v>-1.5673981199999999E-2</v>
      </c>
      <c r="E30" s="89">
        <v>23040234.557378192</v>
      </c>
      <c r="F30" s="35"/>
      <c r="G30" s="311"/>
      <c r="H30" s="36" t="s">
        <v>58</v>
      </c>
      <c r="I30" s="69" t="s">
        <v>59</v>
      </c>
      <c r="J30" s="65" t="s">
        <v>294</v>
      </c>
      <c r="K30" s="311"/>
      <c r="L30" s="36" t="s">
        <v>58</v>
      </c>
      <c r="M30" s="69" t="s">
        <v>59</v>
      </c>
      <c r="N30" s="65" t="s">
        <v>294</v>
      </c>
      <c r="O30" s="311"/>
      <c r="P30" s="36" t="s">
        <v>58</v>
      </c>
      <c r="Q30" s="69" t="s">
        <v>59</v>
      </c>
      <c r="R30" s="65" t="s">
        <v>294</v>
      </c>
    </row>
    <row r="31" spans="1:18">
      <c r="A31" s="40" t="s">
        <v>179</v>
      </c>
      <c r="B31" s="11" t="s">
        <v>180</v>
      </c>
      <c r="C31" s="91">
        <v>4200</v>
      </c>
      <c r="D31" s="88">
        <v>-1.6393442599999999E-2</v>
      </c>
      <c r="E31" s="89">
        <v>3795599.90859207</v>
      </c>
      <c r="F31" s="35"/>
      <c r="G31" s="55" t="str">
        <f ca="1">IFERROR(OFFSET(INDIRECT($H$3 &amp; "!A98"), 0, 0), "")</f>
        <v>이더리움클래식</v>
      </c>
      <c r="H31" s="38">
        <f t="shared" ref="H31:H50" ca="1" si="7">_xlfn.IFNA(VLOOKUP(G31, $B$2:$D$200, 2, FALSE), "")</f>
        <v>127600</v>
      </c>
      <c r="I31" s="72">
        <f t="shared" ref="I31:I50" ca="1" si="8">_xlfn.IFNA(VLOOKUP(G31, $B$2:$D$200, 3, FALSE), "")</f>
        <v>-2.7354434999999999E-3</v>
      </c>
      <c r="J31" s="81">
        <f ca="1">_xlfn.IFNA(VLOOKUP(G31, $B$2:$E$200, 4, FALSE), "")</f>
        <v>15118044.387468779</v>
      </c>
      <c r="K31" s="55" t="str">
        <f ca="1">IFERROR(OFFSET(INDIRECT($H$3 &amp; "!A44"), 0, 0), "")</f>
        <v>에브리피디아</v>
      </c>
      <c r="L31" s="38">
        <f t="shared" ref="L31:L50" ca="1" si="9">_xlfn.IFNA(VLOOKUP(K31, $B$2:$D$200, 2, FALSE), "")</f>
        <v>22.4</v>
      </c>
      <c r="M31" s="72">
        <f t="shared" ref="M31:M50" ca="1" si="10">_xlfn.IFNA(VLOOKUP(K31, $B$2:$D$200, 3, FALSE), "")</f>
        <v>-7.4380165299999995E-2</v>
      </c>
      <c r="N31" s="81">
        <f ca="1">_xlfn.IFNA(VLOOKUP(K31, $B$2:$E$200, 4, FALSE), "")</f>
        <v>669468225.55773163</v>
      </c>
      <c r="O31" s="55" t="str">
        <f ca="1">IFERROR(OFFSET(INDIRECT($H$3 &amp; "!A71"), 0, 0), "")</f>
        <v>도지코인</v>
      </c>
      <c r="P31" s="38">
        <f t="shared" ref="P31:P50" ca="1" si="11">_xlfn.IFNA(VLOOKUP(O31, $B$2:$D$200, 2, FALSE), "")</f>
        <v>643</v>
      </c>
      <c r="Q31" s="72">
        <f t="shared" ref="Q31:Q50" ca="1" si="12">_xlfn.IFNA(VLOOKUP(O31, $B$2:$D$200, 3, FALSE), "")</f>
        <v>-7.2150072199999998E-2</v>
      </c>
      <c r="R31" s="81">
        <f ca="1">_xlfn.IFNA(VLOOKUP(O31, $B$2:$E$200, 4, FALSE), "")</f>
        <v>2943580362.16539</v>
      </c>
    </row>
    <row r="32" spans="1:18">
      <c r="A32" s="40" t="s">
        <v>183</v>
      </c>
      <c r="B32" s="11" t="s">
        <v>184</v>
      </c>
      <c r="C32" s="91">
        <v>2485</v>
      </c>
      <c r="D32" s="88">
        <v>-1.77865613E-2</v>
      </c>
      <c r="E32" s="89">
        <v>1241088.2226606801</v>
      </c>
      <c r="F32" s="35"/>
      <c r="G32" s="56" t="str">
        <f ca="1">IFERROR(OFFSET(INDIRECT($H$3 &amp; "!A98"), 1, 0), "")</f>
        <v>에브리피디아</v>
      </c>
      <c r="H32" s="39">
        <f t="shared" ca="1" si="7"/>
        <v>22.4</v>
      </c>
      <c r="I32" s="73">
        <f t="shared" ca="1" si="8"/>
        <v>-7.4380165299999995E-2</v>
      </c>
      <c r="J32" s="82">
        <f t="shared" ref="J32:J50" ca="1" si="13">_xlfn.IFNA(VLOOKUP(G32, $B$2:$E$200, 4, FALSE), "")</f>
        <v>669468225.55773163</v>
      </c>
      <c r="K32" s="56" t="str">
        <f ca="1">IFERROR(OFFSET(INDIRECT($H$3 &amp; "!A44"), 1, 0), "")</f>
        <v>스톰엑스</v>
      </c>
      <c r="L32" s="39">
        <f t="shared" ca="1" si="9"/>
        <v>49.7</v>
      </c>
      <c r="M32" s="73">
        <f t="shared" ca="1" si="10"/>
        <v>2.0161290000000002E-3</v>
      </c>
      <c r="N32" s="82">
        <f t="shared" ref="N32:N50" ca="1" si="14">_xlfn.IFNA(VLOOKUP(K32, $B$2:$E$200, 4, FALSE), "")</f>
        <v>495343034.2513895</v>
      </c>
      <c r="O32" s="56" t="str">
        <f ca="1">IFERROR(OFFSET(INDIRECT($H$3 &amp; "!A71"), 1, 0), "")</f>
        <v>질리카</v>
      </c>
      <c r="P32" s="39">
        <f t="shared" ca="1" si="11"/>
        <v>235</v>
      </c>
      <c r="Q32" s="73">
        <f t="shared" ca="1" si="12"/>
        <v>-4.08163265E-2</v>
      </c>
      <c r="R32" s="82">
        <f t="shared" ref="R32:R50" ca="1" si="15">_xlfn.IFNA(VLOOKUP(O32, $B$2:$E$200, 4, FALSE), "")</f>
        <v>15031021.840432771</v>
      </c>
    </row>
    <row r="33" spans="1:18">
      <c r="A33" s="40" t="s">
        <v>143</v>
      </c>
      <c r="B33" s="11" t="s">
        <v>144</v>
      </c>
      <c r="C33" s="91">
        <v>12410</v>
      </c>
      <c r="D33" s="88">
        <v>-1.8196202500000001E-2</v>
      </c>
      <c r="E33" s="89">
        <v>1991015.3869624999</v>
      </c>
      <c r="F33" s="35"/>
      <c r="G33" s="56" t="str">
        <f ca="1">IFERROR(OFFSET(INDIRECT($H$3 &amp; "!A98"), 2, 0), "")</f>
        <v>도지코인</v>
      </c>
      <c r="H33" s="39">
        <f t="shared" ca="1" si="7"/>
        <v>643</v>
      </c>
      <c r="I33" s="73">
        <f t="shared" ca="1" si="8"/>
        <v>-7.2150072199999998E-2</v>
      </c>
      <c r="J33" s="82">
        <f t="shared" ca="1" si="13"/>
        <v>2943580362.16539</v>
      </c>
      <c r="K33" s="56" t="str">
        <f ca="1">IFERROR(OFFSET(INDIRECT($H$3 &amp; "!A44"), 2, 0), "")</f>
        <v>시아코인</v>
      </c>
      <c r="L33" s="39">
        <f t="shared" ca="1" si="9"/>
        <v>37.9</v>
      </c>
      <c r="M33" s="73">
        <f t="shared" ca="1" si="10"/>
        <v>-5.2499999999999998E-2</v>
      </c>
      <c r="N33" s="82">
        <f t="shared" ca="1" si="14"/>
        <v>416673587.46833891</v>
      </c>
      <c r="O33" s="56" t="str">
        <f ca="1">IFERROR(OFFSET(INDIRECT($H$3 &amp; "!A71"), 2, 0), "")</f>
        <v>모스코인</v>
      </c>
      <c r="P33" s="39">
        <f t="shared" ca="1" si="11"/>
        <v>157</v>
      </c>
      <c r="Q33" s="73">
        <f t="shared" ca="1" si="12"/>
        <v>-7.1005917200000004E-2</v>
      </c>
      <c r="R33" s="82">
        <f t="shared" ca="1" si="15"/>
        <v>37981617.26199533</v>
      </c>
    </row>
    <row r="34" spans="1:18">
      <c r="A34" s="40" t="s">
        <v>163</v>
      </c>
      <c r="B34" s="11" t="s">
        <v>164</v>
      </c>
      <c r="C34" s="91">
        <v>40630</v>
      </c>
      <c r="D34" s="88">
        <v>-1.9309679E-2</v>
      </c>
      <c r="E34" s="89">
        <v>1649949.13993035</v>
      </c>
      <c r="F34" s="35"/>
      <c r="G34" s="56" t="str">
        <f ca="1">IFERROR(OFFSET(INDIRECT($H$3 &amp; "!A98"), 3, 0), "")</f>
        <v>비트코인캐시에이비씨</v>
      </c>
      <c r="H34" s="39">
        <f t="shared" ca="1" si="7"/>
        <v>53680</v>
      </c>
      <c r="I34" s="73">
        <f t="shared" ca="1" si="8"/>
        <v>-4.1428571400000003E-2</v>
      </c>
      <c r="J34" s="82">
        <f t="shared" ca="1" si="13"/>
        <v>722576.92023726995</v>
      </c>
      <c r="K34" s="56" t="str">
        <f ca="1">IFERROR(OFFSET(INDIRECT($H$3 &amp; "!A44"), 3, 0), "")</f>
        <v>메인프레임</v>
      </c>
      <c r="L34" s="39">
        <f t="shared" ca="1" si="9"/>
        <v>18.399999999999999</v>
      </c>
      <c r="M34" s="73">
        <f t="shared" ca="1" si="10"/>
        <v>2.2222222199999999E-2</v>
      </c>
      <c r="N34" s="82">
        <f t="shared" ca="1" si="14"/>
        <v>2657865152.620266</v>
      </c>
      <c r="O34" s="56" t="str">
        <f ca="1">IFERROR(OFFSET(INDIRECT($H$3 &amp; "!A71"), 3, 0), "")</f>
        <v>썸씽</v>
      </c>
      <c r="P34" s="39">
        <f t="shared" ca="1" si="11"/>
        <v>131</v>
      </c>
      <c r="Q34" s="73">
        <f t="shared" ca="1" si="12"/>
        <v>1.5503876E-2</v>
      </c>
      <c r="R34" s="82">
        <f t="shared" ca="1" si="15"/>
        <v>1573271175.2892375</v>
      </c>
    </row>
    <row r="35" spans="1:18">
      <c r="A35" s="40" t="s">
        <v>113</v>
      </c>
      <c r="B35" s="11" t="s">
        <v>114</v>
      </c>
      <c r="C35" s="91">
        <v>12110</v>
      </c>
      <c r="D35" s="88">
        <v>-1.9433198400000001E-2</v>
      </c>
      <c r="E35" s="89">
        <v>641298.91905084997</v>
      </c>
      <c r="F35" s="35"/>
      <c r="G35" s="58" t="str">
        <f ca="1">IFERROR(OFFSET(INDIRECT($H$3 &amp; "!A98"), 4, 0), "")</f>
        <v>스톰엑스</v>
      </c>
      <c r="H35" s="44">
        <f t="shared" ca="1" si="7"/>
        <v>49.7</v>
      </c>
      <c r="I35" s="74">
        <f t="shared" ca="1" si="8"/>
        <v>2.0161290000000002E-3</v>
      </c>
      <c r="J35" s="86">
        <f t="shared" ca="1" si="13"/>
        <v>495343034.2513895</v>
      </c>
      <c r="K35" s="58" t="str">
        <f ca="1">IFERROR(OFFSET(INDIRECT($H$3 &amp; "!A44"), 4, 0), "")</f>
        <v>아하토큰</v>
      </c>
      <c r="L35" s="44">
        <f t="shared" ca="1" si="9"/>
        <v>15.7</v>
      </c>
      <c r="M35" s="74">
        <f t="shared" ca="1" si="10"/>
        <v>-4.8484848499999997E-2</v>
      </c>
      <c r="N35" s="86">
        <f t="shared" ca="1" si="14"/>
        <v>234789579.15731609</v>
      </c>
      <c r="O35" s="58" t="str">
        <f ca="1">IFERROR(OFFSET(INDIRECT($H$3 &amp; "!A71"), 4, 0), "")</f>
        <v>아더</v>
      </c>
      <c r="P35" s="44">
        <f t="shared" ca="1" si="11"/>
        <v>407</v>
      </c>
      <c r="Q35" s="74">
        <f t="shared" ca="1" si="12"/>
        <v>-3.5545023699999997E-2</v>
      </c>
      <c r="R35" s="86">
        <f t="shared" ca="1" si="15"/>
        <v>12575861.66561681</v>
      </c>
    </row>
    <row r="36" spans="1:18">
      <c r="A36" s="40" t="s">
        <v>119</v>
      </c>
      <c r="B36" s="11" t="s">
        <v>120</v>
      </c>
      <c r="C36" s="91">
        <v>199</v>
      </c>
      <c r="D36" s="88">
        <v>-1.97044335E-2</v>
      </c>
      <c r="E36" s="89">
        <v>49627546.767749861</v>
      </c>
      <c r="F36" s="35"/>
      <c r="G36" s="56" t="str">
        <f ca="1">IFERROR(OFFSET(INDIRECT($H$3 &amp; "!A98"), 5, 0), "")</f>
        <v>폴카닷</v>
      </c>
      <c r="H36" s="39">
        <f t="shared" ca="1" si="7"/>
        <v>58900</v>
      </c>
      <c r="I36" s="73">
        <f t="shared" ca="1" si="8"/>
        <v>-5.2356021000000003E-3</v>
      </c>
      <c r="J36" s="95">
        <f t="shared" ca="1" si="13"/>
        <v>6144917.4011686696</v>
      </c>
      <c r="K36" s="56" t="str">
        <f ca="1">IFERROR(OFFSET(INDIRECT($H$3 &amp; "!A44"), 5, 0), "")</f>
        <v>아이오에스티</v>
      </c>
      <c r="L36" s="39">
        <f t="shared" ca="1" si="9"/>
        <v>61.6</v>
      </c>
      <c r="M36" s="73">
        <f t="shared" ca="1" si="10"/>
        <v>-4.6439628500000003E-2</v>
      </c>
      <c r="N36" s="95">
        <f t="shared" ca="1" si="14"/>
        <v>92270667.10971342</v>
      </c>
      <c r="O36" s="56" t="str">
        <f ca="1">IFERROR(OFFSET(INDIRECT($H$3 &amp; "!A71"), 5, 0), "")</f>
        <v>샌드박스</v>
      </c>
      <c r="P36" s="39">
        <f t="shared" ca="1" si="11"/>
        <v>588</v>
      </c>
      <c r="Q36" s="73">
        <f t="shared" ca="1" si="12"/>
        <v>8.2872928200000001E-2</v>
      </c>
      <c r="R36" s="95">
        <f t="shared" ca="1" si="15"/>
        <v>82538669.152151495</v>
      </c>
    </row>
    <row r="37" spans="1:18">
      <c r="A37" s="40" t="s">
        <v>159</v>
      </c>
      <c r="B37" s="11" t="s">
        <v>160</v>
      </c>
      <c r="C37" s="91">
        <v>2570</v>
      </c>
      <c r="D37" s="88">
        <v>-2.0952380999999999E-2</v>
      </c>
      <c r="E37" s="89">
        <v>3237762.4468288701</v>
      </c>
      <c r="F37" s="35"/>
      <c r="G37" s="56" t="str">
        <f ca="1">IFERROR(OFFSET(INDIRECT($H$3 &amp; "!A98"), 6, 0), "")</f>
        <v>이더리움</v>
      </c>
      <c r="H37" s="39">
        <f t="shared" ca="1" si="7"/>
        <v>4820000</v>
      </c>
      <c r="I37" s="73">
        <f t="shared" ca="1" si="8"/>
        <v>-4.1939972200000002E-2</v>
      </c>
      <c r="J37" s="82">
        <f t="shared" ca="1" si="13"/>
        <v>136036.62867546</v>
      </c>
      <c r="K37" s="56" t="str">
        <f ca="1">IFERROR(OFFSET(INDIRECT($H$3 &amp; "!A44"), 6, 0), "")</f>
        <v>엠블</v>
      </c>
      <c r="L37" s="39">
        <f t="shared" ca="1" si="9"/>
        <v>23.4</v>
      </c>
      <c r="M37" s="73">
        <f t="shared" ca="1" si="10"/>
        <v>-4.4897959199999997E-2</v>
      </c>
      <c r="N37" s="82">
        <f t="shared" ca="1" si="14"/>
        <v>473599023.278274</v>
      </c>
      <c r="O37" s="56" t="str">
        <f ca="1">IFERROR(OFFSET(INDIRECT($H$3 &amp; "!A71"), 6, 0), "")</f>
        <v>폴리매쓰</v>
      </c>
      <c r="P37" s="39">
        <f t="shared" ca="1" si="11"/>
        <v>438</v>
      </c>
      <c r="Q37" s="73">
        <f t="shared" ca="1" si="12"/>
        <v>-1.12866817E-2</v>
      </c>
      <c r="R37" s="82">
        <f t="shared" ca="1" si="15"/>
        <v>17192659.376940109</v>
      </c>
    </row>
    <row r="38" spans="1:18">
      <c r="A38" s="40" t="s">
        <v>127</v>
      </c>
      <c r="B38" s="11" t="s">
        <v>128</v>
      </c>
      <c r="C38" s="91">
        <v>585</v>
      </c>
      <c r="D38" s="88">
        <v>-2.1739130400000001E-2</v>
      </c>
      <c r="E38" s="89">
        <v>30346667.619327769</v>
      </c>
      <c r="F38" s="35"/>
      <c r="G38" s="56" t="str">
        <f ca="1">IFERROR(OFFSET(INDIRECT($H$3 &amp; "!A98"), 7, 0), "")</f>
        <v>질리카</v>
      </c>
      <c r="H38" s="39">
        <f t="shared" ca="1" si="7"/>
        <v>235</v>
      </c>
      <c r="I38" s="73">
        <f t="shared" ca="1" si="8"/>
        <v>-4.08163265E-2</v>
      </c>
      <c r="J38" s="82">
        <f t="shared" ca="1" si="13"/>
        <v>15031021.840432771</v>
      </c>
      <c r="K38" s="56" t="str">
        <f ca="1">IFERROR(OFFSET(INDIRECT($H$3 &amp; "!A44"), 7, 0), "")</f>
        <v>무비블록</v>
      </c>
      <c r="L38" s="39">
        <f t="shared" ca="1" si="9"/>
        <v>15.4</v>
      </c>
      <c r="M38" s="73">
        <f t="shared" ca="1" si="10"/>
        <v>-4.9382716E-2</v>
      </c>
      <c r="N38" s="82">
        <f t="shared" ca="1" si="14"/>
        <v>641040889.23240316</v>
      </c>
      <c r="O38" s="56" t="str">
        <f ca="1">IFERROR(OFFSET(INDIRECT($H$3 &amp; "!A71"), 7, 0), "")</f>
        <v>왁스</v>
      </c>
      <c r="P38" s="39">
        <f t="shared" ca="1" si="11"/>
        <v>240</v>
      </c>
      <c r="Q38" s="73">
        <f t="shared" ca="1" si="12"/>
        <v>-2.8340081E-2</v>
      </c>
      <c r="R38" s="82">
        <f t="shared" ca="1" si="15"/>
        <v>9554608.4532734901</v>
      </c>
    </row>
    <row r="39" spans="1:18">
      <c r="A39" s="40" t="s">
        <v>249</v>
      </c>
      <c r="B39" s="11" t="s">
        <v>250</v>
      </c>
      <c r="C39" s="91">
        <v>177</v>
      </c>
      <c r="D39" s="88">
        <v>-2.2099447500000001E-2</v>
      </c>
      <c r="E39" s="89">
        <v>27395724.975761291</v>
      </c>
      <c r="F39" s="35"/>
      <c r="G39" s="56" t="str">
        <f ca="1">IFERROR(OFFSET(INDIRECT($H$3 &amp; "!A98"), 8, 0), "")</f>
        <v>모스코인</v>
      </c>
      <c r="H39" s="39">
        <f t="shared" ca="1" si="7"/>
        <v>157</v>
      </c>
      <c r="I39" s="73">
        <f t="shared" ca="1" si="8"/>
        <v>-7.1005917200000004E-2</v>
      </c>
      <c r="J39" s="82">
        <f t="shared" ca="1" si="13"/>
        <v>37981617.26199533</v>
      </c>
      <c r="K39" s="56" t="str">
        <f ca="1">IFERROR(OFFSET(INDIRECT($H$3 &amp; "!A44"), 8, 0), "")</f>
        <v>썬더토큰</v>
      </c>
      <c r="L39" s="39">
        <f t="shared" ca="1" si="9"/>
        <v>17.600000000000001</v>
      </c>
      <c r="M39" s="73">
        <f t="shared" ca="1" si="10"/>
        <v>-2.7624309400000002E-2</v>
      </c>
      <c r="N39" s="82">
        <f t="shared" ca="1" si="14"/>
        <v>391735004.34278429</v>
      </c>
      <c r="O39" s="56" t="str">
        <f ca="1">IFERROR(OFFSET(INDIRECT($H$3 &amp; "!A71"), 8, 0), "")</f>
        <v>보라</v>
      </c>
      <c r="P39" s="39">
        <f t="shared" ca="1" si="11"/>
        <v>243</v>
      </c>
      <c r="Q39" s="73">
        <f t="shared" ca="1" si="12"/>
        <v>-5.4474708199999999E-2</v>
      </c>
      <c r="R39" s="82">
        <f t="shared" ca="1" si="15"/>
        <v>25224391.41620988</v>
      </c>
    </row>
    <row r="40" spans="1:18" ht="17.25" thickBot="1">
      <c r="A40" s="40" t="s">
        <v>161</v>
      </c>
      <c r="B40" s="11" t="s">
        <v>162</v>
      </c>
      <c r="C40" s="91">
        <v>1745</v>
      </c>
      <c r="D40" s="88">
        <v>-2.2408963600000002E-2</v>
      </c>
      <c r="E40" s="89">
        <v>6187511.3724135198</v>
      </c>
      <c r="F40" s="35"/>
      <c r="G40" s="57" t="str">
        <f ca="1">IFERROR(OFFSET(INDIRECT($H$3 &amp; "!A98"), 9, 0), "")</f>
        <v>비트코인골드</v>
      </c>
      <c r="H40" s="37">
        <f t="shared" ca="1" si="7"/>
        <v>123200</v>
      </c>
      <c r="I40" s="75">
        <f t="shared" ca="1" si="8"/>
        <v>-2.6856240100000001E-2</v>
      </c>
      <c r="J40" s="83">
        <f t="shared" ca="1" si="13"/>
        <v>809027.90899359004</v>
      </c>
      <c r="K40" s="57" t="str">
        <f ca="1">IFERROR(OFFSET(INDIRECT($H$3 &amp; "!A44"), 9, 0), "")</f>
        <v>캐리프로토콜</v>
      </c>
      <c r="L40" s="37">
        <f t="shared" ca="1" si="9"/>
        <v>17.600000000000001</v>
      </c>
      <c r="M40" s="75">
        <f t="shared" ca="1" si="10"/>
        <v>-3.2967033E-2</v>
      </c>
      <c r="N40" s="83">
        <f t="shared" ca="1" si="14"/>
        <v>526128161.59523439</v>
      </c>
      <c r="O40" s="57" t="str">
        <f ca="1">IFERROR(OFFSET(INDIRECT($H$3 &amp; "!A71"), 9, 0), "")</f>
        <v>시빅</v>
      </c>
      <c r="P40" s="37">
        <f t="shared" ca="1" si="11"/>
        <v>585</v>
      </c>
      <c r="Q40" s="75">
        <f t="shared" ca="1" si="12"/>
        <v>-2.1739130400000001E-2</v>
      </c>
      <c r="R40" s="83">
        <f t="shared" ca="1" si="15"/>
        <v>30346667.619327769</v>
      </c>
    </row>
    <row r="41" spans="1:18">
      <c r="A41" s="40" t="s">
        <v>99</v>
      </c>
      <c r="B41" s="11" t="s">
        <v>100</v>
      </c>
      <c r="C41" s="91">
        <v>7.38</v>
      </c>
      <c r="D41" s="88">
        <v>-2.3809523799999999E-2</v>
      </c>
      <c r="E41" s="89">
        <v>20073649903.063255</v>
      </c>
      <c r="F41" s="35"/>
      <c r="G41" s="59" t="str">
        <f ca="1">IFERROR(OFFSET(INDIRECT($H$3 &amp; "!A98"), 10, 0), "")</f>
        <v>썸씽</v>
      </c>
      <c r="H41" s="38">
        <f t="shared" ca="1" si="7"/>
        <v>131</v>
      </c>
      <c r="I41" s="72">
        <f t="shared" ca="1" si="8"/>
        <v>1.5503876E-2</v>
      </c>
      <c r="J41" s="81">
        <f t="shared" ca="1" si="13"/>
        <v>1573271175.2892375</v>
      </c>
      <c r="K41" s="55" t="str">
        <f ca="1">IFERROR(OFFSET(INDIRECT($H$3 &amp; "!A44"), 10, 0), "")</f>
        <v>옵저버</v>
      </c>
      <c r="L41" s="38">
        <f t="shared" ca="1" si="9"/>
        <v>23</v>
      </c>
      <c r="M41" s="72">
        <f t="shared" ca="1" si="10"/>
        <v>-5.3497942399999998E-2</v>
      </c>
      <c r="N41" s="81">
        <f t="shared" ca="1" si="14"/>
        <v>302088517.90899241</v>
      </c>
      <c r="O41" s="55" t="str">
        <f ca="1">IFERROR(OFFSET(INDIRECT($H$3 &amp; "!A71"), 10, 0), "")</f>
        <v>앵커</v>
      </c>
      <c r="P41" s="38">
        <f t="shared" ca="1" si="11"/>
        <v>170</v>
      </c>
      <c r="Q41" s="72">
        <f t="shared" ca="1" si="12"/>
        <v>-3.9548022600000003E-2</v>
      </c>
      <c r="R41" s="81">
        <f t="shared" ca="1" si="15"/>
        <v>40321764.471313007</v>
      </c>
    </row>
    <row r="42" spans="1:18">
      <c r="A42" s="40" t="s">
        <v>199</v>
      </c>
      <c r="B42" s="11" t="s">
        <v>200</v>
      </c>
      <c r="C42" s="91">
        <v>305</v>
      </c>
      <c r="D42" s="88">
        <v>-2.5559105400000001E-2</v>
      </c>
      <c r="E42" s="89">
        <v>12543910.28568789</v>
      </c>
      <c r="F42" s="35"/>
      <c r="G42" s="56" t="str">
        <f ca="1">IFERROR(OFFSET(INDIRECT($H$3 &amp; "!A98"), 11, 0), "")</f>
        <v>가스</v>
      </c>
      <c r="H42" s="39">
        <f t="shared" ca="1" si="7"/>
        <v>15790</v>
      </c>
      <c r="I42" s="73">
        <f t="shared" ca="1" si="8"/>
        <v>-5.7875894999999997E-2</v>
      </c>
      <c r="J42" s="82">
        <f t="shared" ca="1" si="13"/>
        <v>602078.46405459999</v>
      </c>
      <c r="K42" s="56" t="str">
        <f ca="1">IFERROR(OFFSET(INDIRECT($H$3 &amp; "!A44"), 11, 0), "")</f>
        <v>에스티피</v>
      </c>
      <c r="L42" s="39">
        <f t="shared" ca="1" si="9"/>
        <v>88</v>
      </c>
      <c r="M42" s="73">
        <f t="shared" ca="1" si="10"/>
        <v>-4.55531453E-2</v>
      </c>
      <c r="N42" s="82">
        <f t="shared" ca="1" si="14"/>
        <v>65032456.310953617</v>
      </c>
      <c r="O42" s="56" t="str">
        <f ca="1">IFERROR(OFFSET(INDIRECT($H$3 &amp; "!A71"), 11, 0), "")</f>
        <v>엘비알와이크레딧</v>
      </c>
      <c r="P42" s="39">
        <f t="shared" ca="1" si="11"/>
        <v>177</v>
      </c>
      <c r="Q42" s="73">
        <f t="shared" ca="1" si="12"/>
        <v>-2.2099447500000001E-2</v>
      </c>
      <c r="R42" s="82">
        <f t="shared" ca="1" si="15"/>
        <v>27395724.975761291</v>
      </c>
    </row>
    <row r="43" spans="1:18">
      <c r="A43" s="40" t="s">
        <v>175</v>
      </c>
      <c r="B43" s="11" t="s">
        <v>176</v>
      </c>
      <c r="C43" s="91">
        <v>2030</v>
      </c>
      <c r="D43" s="88">
        <v>-2.6378896900000001E-2</v>
      </c>
      <c r="E43" s="89">
        <v>2770309.7671036101</v>
      </c>
      <c r="F43" s="35"/>
      <c r="G43" s="56" t="str">
        <f ca="1">IFERROR(OFFSET(INDIRECT($H$3 &amp; "!A98"), 12, 0), "")</f>
        <v>아더</v>
      </c>
      <c r="H43" s="39">
        <f t="shared" ca="1" si="7"/>
        <v>407</v>
      </c>
      <c r="I43" s="73">
        <f t="shared" ca="1" si="8"/>
        <v>-3.5545023699999997E-2</v>
      </c>
      <c r="J43" s="82">
        <f t="shared" ca="1" si="13"/>
        <v>12575861.66561681</v>
      </c>
      <c r="K43" s="56" t="str">
        <f ca="1">IFERROR(OFFSET(INDIRECT($H$3 &amp; "!A44"), 12, 0), "")</f>
        <v>비트토렌트</v>
      </c>
      <c r="L43" s="39">
        <f t="shared" ca="1" si="9"/>
        <v>7.38</v>
      </c>
      <c r="M43" s="73">
        <f t="shared" ca="1" si="10"/>
        <v>-2.3809523799999999E-2</v>
      </c>
      <c r="N43" s="82">
        <f t="shared" ca="1" si="14"/>
        <v>20073649903.063255</v>
      </c>
      <c r="O43" s="56" t="str">
        <f ca="1">IFERROR(OFFSET(INDIRECT($H$3 &amp; "!A71"), 12, 0), "")</f>
        <v>센티넬프로토콜</v>
      </c>
      <c r="P43" s="39">
        <f t="shared" ca="1" si="11"/>
        <v>151</v>
      </c>
      <c r="Q43" s="73">
        <f t="shared" ca="1" si="12"/>
        <v>-1.30718954E-2</v>
      </c>
      <c r="R43" s="82">
        <f t="shared" ca="1" si="15"/>
        <v>72464061.377674907</v>
      </c>
    </row>
    <row r="44" spans="1:18">
      <c r="A44" s="40" t="s">
        <v>79</v>
      </c>
      <c r="B44" s="11" t="s">
        <v>80</v>
      </c>
      <c r="C44" s="91">
        <v>1465</v>
      </c>
      <c r="D44" s="88">
        <v>-2.6578073099999999E-2</v>
      </c>
      <c r="E44" s="89">
        <v>5227614.6844521603</v>
      </c>
      <c r="F44" s="35"/>
      <c r="G44" s="56" t="str">
        <f ca="1">IFERROR(OFFSET(INDIRECT($H$3 &amp; "!A98"), 13, 0), "")</f>
        <v>체인링크</v>
      </c>
      <c r="H44" s="39">
        <f t="shared" ca="1" si="7"/>
        <v>55020</v>
      </c>
      <c r="I44" s="73">
        <f t="shared" ca="1" si="8"/>
        <v>-4.2963993700000001E-2</v>
      </c>
      <c r="J44" s="82">
        <f t="shared" ca="1" si="13"/>
        <v>1424959.49066266</v>
      </c>
      <c r="K44" s="56" t="str">
        <f ca="1">IFERROR(OFFSET(INDIRECT($H$3 &amp; "!A44"), 13, 0), "")</f>
        <v>퀴즈톡</v>
      </c>
      <c r="L44" s="39">
        <f t="shared" ca="1" si="9"/>
        <v>71.7</v>
      </c>
      <c r="M44" s="73">
        <f t="shared" ca="1" si="10"/>
        <v>-3.2388663999999998E-2</v>
      </c>
      <c r="N44" s="82">
        <f t="shared" ca="1" si="14"/>
        <v>225734358.63439456</v>
      </c>
      <c r="O44" s="56" t="str">
        <f ca="1">IFERROR(OFFSET(INDIRECT($H$3 &amp; "!A71"), 13, 0), "")</f>
        <v>트론</v>
      </c>
      <c r="P44" s="39">
        <f t="shared" ca="1" si="11"/>
        <v>154</v>
      </c>
      <c r="Q44" s="73">
        <f t="shared" ca="1" si="12"/>
        <v>0</v>
      </c>
      <c r="R44" s="82">
        <f t="shared" ca="1" si="15"/>
        <v>377771134.06171662</v>
      </c>
    </row>
    <row r="45" spans="1:18">
      <c r="A45" s="40" t="s">
        <v>93</v>
      </c>
      <c r="B45" s="11" t="s">
        <v>94</v>
      </c>
      <c r="C45" s="91">
        <v>123200</v>
      </c>
      <c r="D45" s="88">
        <v>-2.6856240100000001E-2</v>
      </c>
      <c r="E45" s="89">
        <v>809027.90899359004</v>
      </c>
      <c r="F45" s="35"/>
      <c r="G45" s="58" t="str">
        <f ca="1">IFERROR(OFFSET(INDIRECT($H$3 &amp; "!A98"), 14, 0), "")</f>
        <v>오미세고</v>
      </c>
      <c r="H45" s="44">
        <f t="shared" ca="1" si="7"/>
        <v>12410</v>
      </c>
      <c r="I45" s="74">
        <f t="shared" ca="1" si="8"/>
        <v>-1.8196202500000001E-2</v>
      </c>
      <c r="J45" s="86">
        <f t="shared" ca="1" si="13"/>
        <v>1991015.3869624999</v>
      </c>
      <c r="K45" s="58" t="str">
        <f ca="1">IFERROR(OFFSET(INDIRECT($H$3 &amp; "!A44"), 14, 0), "")</f>
        <v>리퍼리움</v>
      </c>
      <c r="L45" s="44">
        <f t="shared" ca="1" si="9"/>
        <v>19.100000000000001</v>
      </c>
      <c r="M45" s="74">
        <f t="shared" ca="1" si="10"/>
        <v>-4.0201004999999998E-2</v>
      </c>
      <c r="N45" s="86">
        <f t="shared" ca="1" si="14"/>
        <v>839892003.44279563</v>
      </c>
      <c r="O45" s="58" t="str">
        <f ca="1">IFERROR(OFFSET(INDIRECT($H$3 &amp; "!A71"), 14, 0), "")</f>
        <v>넴</v>
      </c>
      <c r="P45" s="44">
        <f t="shared" ca="1" si="11"/>
        <v>395</v>
      </c>
      <c r="Q45" s="74">
        <f t="shared" ca="1" si="12"/>
        <v>0</v>
      </c>
      <c r="R45" s="86">
        <f t="shared" ca="1" si="15"/>
        <v>67814827.305056289</v>
      </c>
    </row>
    <row r="46" spans="1:18">
      <c r="A46" s="40" t="s">
        <v>62</v>
      </c>
      <c r="B46" s="11" t="s">
        <v>63</v>
      </c>
      <c r="C46" s="91">
        <v>121100</v>
      </c>
      <c r="D46" s="88">
        <v>-2.6918441099999999E-2</v>
      </c>
      <c r="E46" s="89">
        <v>774671.45327731001</v>
      </c>
      <c r="F46" s="35"/>
      <c r="G46" s="56" t="str">
        <f ca="1">IFERROR(OFFSET(INDIRECT($H$3 &amp; "!A98"), 15, 0), "")</f>
        <v>시아코인</v>
      </c>
      <c r="H46" s="39">
        <f t="shared" ca="1" si="7"/>
        <v>37.9</v>
      </c>
      <c r="I46" s="73">
        <f t="shared" ca="1" si="8"/>
        <v>-5.2499999999999998E-2</v>
      </c>
      <c r="J46" s="95">
        <f t="shared" ca="1" si="13"/>
        <v>416673587.46833891</v>
      </c>
      <c r="K46" s="56" t="str">
        <f ca="1">IFERROR(OFFSET(INDIRECT($H$3 &amp; "!A44"), 15, 0), "")</f>
        <v>쿼크체인</v>
      </c>
      <c r="L46" s="39">
        <f t="shared" ca="1" si="9"/>
        <v>31.2</v>
      </c>
      <c r="M46" s="73">
        <f t="shared" ca="1" si="10"/>
        <v>-3.7037037000000002E-2</v>
      </c>
      <c r="N46" s="95">
        <f t="shared" ca="1" si="14"/>
        <v>66073535.463473022</v>
      </c>
      <c r="O46" s="56" t="str">
        <f ca="1">IFERROR(OFFSET(INDIRECT($H$3 &amp; "!A71"), 15, 0), "")</f>
        <v>오브스</v>
      </c>
      <c r="P46" s="39">
        <f t="shared" ca="1" si="11"/>
        <v>142</v>
      </c>
      <c r="Q46" s="73">
        <f t="shared" ca="1" si="12"/>
        <v>-2.73972603E-2</v>
      </c>
      <c r="R46" s="95">
        <f t="shared" ca="1" si="15"/>
        <v>80309285.625048608</v>
      </c>
    </row>
    <row r="47" spans="1:18">
      <c r="A47" s="40" t="s">
        <v>129</v>
      </c>
      <c r="B47" s="11" t="s">
        <v>130</v>
      </c>
      <c r="C47" s="91">
        <v>392550</v>
      </c>
      <c r="D47" s="88">
        <v>-2.7016978600000002E-2</v>
      </c>
      <c r="E47" s="89">
        <v>247090.99886088</v>
      </c>
      <c r="F47" s="35"/>
      <c r="G47" s="56" t="str">
        <f ca="1">IFERROR(OFFSET(INDIRECT($H$3 &amp; "!A98"), 16, 0), "")</f>
        <v>샌드박스</v>
      </c>
      <c r="H47" s="39">
        <f t="shared" ca="1" si="7"/>
        <v>588</v>
      </c>
      <c r="I47" s="73">
        <f t="shared" ca="1" si="8"/>
        <v>8.2872928200000001E-2</v>
      </c>
      <c r="J47" s="82">
        <f t="shared" ca="1" si="13"/>
        <v>82538669.152151495</v>
      </c>
      <c r="K47" s="56" t="str">
        <f ca="1">IFERROR(OFFSET(INDIRECT($H$3 &amp; "!A44"), 16, 0), "")</f>
        <v>람다</v>
      </c>
      <c r="L47" s="39">
        <f t="shared" ca="1" si="9"/>
        <v>79</v>
      </c>
      <c r="M47" s="73">
        <f t="shared" ca="1" si="10"/>
        <v>-4.2424242399999999E-2</v>
      </c>
      <c r="N47" s="82">
        <f t="shared" ca="1" si="14"/>
        <v>121653863.38713455</v>
      </c>
      <c r="O47" s="56" t="str">
        <f ca="1">IFERROR(OFFSET(INDIRECT($H$3 &amp; "!A71"), 16, 0), "")</f>
        <v>룸네트워크</v>
      </c>
      <c r="P47" s="39">
        <f t="shared" ca="1" si="11"/>
        <v>147</v>
      </c>
      <c r="Q47" s="73">
        <f t="shared" ca="1" si="12"/>
        <v>-4.5454545499999999E-2</v>
      </c>
      <c r="R47" s="82">
        <f t="shared" ca="1" si="15"/>
        <v>73060247.296256959</v>
      </c>
    </row>
    <row r="48" spans="1:18">
      <c r="A48" s="40" t="s">
        <v>133</v>
      </c>
      <c r="B48" s="11" t="s">
        <v>134</v>
      </c>
      <c r="C48" s="91">
        <v>142</v>
      </c>
      <c r="D48" s="88">
        <v>-2.73972603E-2</v>
      </c>
      <c r="E48" s="89">
        <v>80309285.625048608</v>
      </c>
      <c r="F48" s="35"/>
      <c r="G48" s="56" t="str">
        <f ca="1">IFERROR(OFFSET(INDIRECT($H$3 &amp; "!A98"), 17, 0), "")</f>
        <v>폴리매쓰</v>
      </c>
      <c r="H48" s="39">
        <f t="shared" ca="1" si="7"/>
        <v>438</v>
      </c>
      <c r="I48" s="73">
        <f t="shared" ca="1" si="8"/>
        <v>-1.12866817E-2</v>
      </c>
      <c r="J48" s="82">
        <f t="shared" ca="1" si="13"/>
        <v>17192659.376940109</v>
      </c>
      <c r="K48" s="56" t="str">
        <f ca="1">IFERROR(OFFSET(INDIRECT($H$3 &amp; "!A44"), 17, 0), "")</f>
        <v>엔도르</v>
      </c>
      <c r="L48" s="39">
        <f t="shared" ca="1" si="9"/>
        <v>70.7</v>
      </c>
      <c r="M48" s="73">
        <f t="shared" ca="1" si="10"/>
        <v>-2.7510316399999998E-2</v>
      </c>
      <c r="N48" s="82">
        <f t="shared" ca="1" si="14"/>
        <v>1160036204.7035651</v>
      </c>
      <c r="O48" s="56" t="str">
        <f ca="1">IFERROR(OFFSET(INDIRECT($H$3 &amp; "!A71"), 17, 0), "")</f>
        <v>스테이터스네트워크토큰</v>
      </c>
      <c r="P48" s="39">
        <f t="shared" ca="1" si="11"/>
        <v>211</v>
      </c>
      <c r="Q48" s="73">
        <f t="shared" ca="1" si="12"/>
        <v>4.4554455399999998E-2</v>
      </c>
      <c r="R48" s="82">
        <f t="shared" ca="1" si="15"/>
        <v>784200302.69919455</v>
      </c>
    </row>
    <row r="49" spans="1:18">
      <c r="A49" s="40" t="s">
        <v>235</v>
      </c>
      <c r="B49" s="11" t="s">
        <v>236</v>
      </c>
      <c r="C49" s="91">
        <v>70.7</v>
      </c>
      <c r="D49" s="88">
        <v>-2.7510316399999998E-2</v>
      </c>
      <c r="E49" s="89">
        <v>1160036204.7035651</v>
      </c>
      <c r="F49" s="35"/>
      <c r="G49" s="56" t="str">
        <f ca="1">IFERROR(OFFSET(INDIRECT($H$3 &amp; "!A98"), 18, 0), "")</f>
        <v>제로엑스</v>
      </c>
      <c r="H49" s="39">
        <f t="shared" ca="1" si="7"/>
        <v>2020</v>
      </c>
      <c r="I49" s="73">
        <f t="shared" ca="1" si="8"/>
        <v>-4.0380047500000002E-2</v>
      </c>
      <c r="J49" s="82">
        <f t="shared" ca="1" si="13"/>
        <v>2248902.1507311501</v>
      </c>
      <c r="K49" s="56" t="str">
        <f ca="1">IFERROR(OFFSET(INDIRECT($H$3 &amp; "!A44"), 18, 0), "")</f>
        <v>트웰브쉽스</v>
      </c>
      <c r="L49" s="39">
        <f t="shared" ca="1" si="9"/>
        <v>22.5</v>
      </c>
      <c r="M49" s="73">
        <f t="shared" ca="1" si="10"/>
        <v>-6.25E-2</v>
      </c>
      <c r="N49" s="82">
        <f t="shared" ca="1" si="14"/>
        <v>412760527.1570465</v>
      </c>
      <c r="O49" s="56" t="str">
        <f ca="1">IFERROR(OFFSET(INDIRECT($H$3 &amp; "!A71"), 18, 0), "")</f>
        <v>메디블록</v>
      </c>
      <c r="P49" s="39">
        <f t="shared" ca="1" si="11"/>
        <v>123</v>
      </c>
      <c r="Q49" s="73">
        <f t="shared" ca="1" si="12"/>
        <v>-3.90625E-2</v>
      </c>
      <c r="R49" s="82">
        <f t="shared" ca="1" si="15"/>
        <v>299496467.05556184</v>
      </c>
    </row>
    <row r="50" spans="1:18" ht="17.25" thickBot="1">
      <c r="A50" s="40" t="s">
        <v>195</v>
      </c>
      <c r="B50" s="11" t="s">
        <v>196</v>
      </c>
      <c r="C50" s="91">
        <v>17.600000000000001</v>
      </c>
      <c r="D50" s="88">
        <v>-2.7624309400000002E-2</v>
      </c>
      <c r="E50" s="89">
        <v>391735004.34278429</v>
      </c>
      <c r="F50" s="35"/>
      <c r="G50" s="57" t="str">
        <f ca="1">IFERROR(OFFSET(INDIRECT($H$3 &amp; "!A98"), 19, 0), "")</f>
        <v>스팀</v>
      </c>
      <c r="H50" s="37">
        <f t="shared" ca="1" si="7"/>
        <v>1105</v>
      </c>
      <c r="I50" s="75">
        <f t="shared" ca="1" si="8"/>
        <v>-5.5555555600000001E-2</v>
      </c>
      <c r="J50" s="83">
        <f t="shared" ca="1" si="13"/>
        <v>14502538.898750789</v>
      </c>
      <c r="K50" s="57" t="str">
        <f ca="1">IFERROR(OFFSET(INDIRECT($H$3 &amp; "!A44"), 19, 0), "")</f>
        <v>솔브케어</v>
      </c>
      <c r="L50" s="37">
        <f t="shared" ca="1" si="9"/>
        <v>243</v>
      </c>
      <c r="M50" s="75">
        <f t="shared" ca="1" si="10"/>
        <v>-1.2195121999999999E-2</v>
      </c>
      <c r="N50" s="83">
        <f t="shared" ca="1" si="14"/>
        <v>19256372.502526872</v>
      </c>
      <c r="O50" s="57" t="str">
        <f ca="1">IFERROR(OFFSET(INDIRECT($H$3 &amp; "!A71"), 19, 0), "")</f>
        <v>저스트</v>
      </c>
      <c r="P50" s="37">
        <f t="shared" ca="1" si="11"/>
        <v>139</v>
      </c>
      <c r="Q50" s="75">
        <f t="shared" ca="1" si="12"/>
        <v>-1.4184397200000001E-2</v>
      </c>
      <c r="R50" s="83">
        <f t="shared" ca="1" si="15"/>
        <v>26504988.700772692</v>
      </c>
    </row>
    <row r="51" spans="1:18">
      <c r="A51" s="40" t="s">
        <v>255</v>
      </c>
      <c r="B51" s="11" t="s">
        <v>256</v>
      </c>
      <c r="C51" s="91">
        <v>240</v>
      </c>
      <c r="D51" s="88">
        <v>-2.8340081E-2</v>
      </c>
      <c r="E51" s="89">
        <v>9554608.4532734901</v>
      </c>
      <c r="F51" s="35"/>
    </row>
    <row r="52" spans="1:18" ht="17.25" thickBot="1">
      <c r="A52" s="40" t="s">
        <v>149</v>
      </c>
      <c r="B52" s="11" t="s">
        <v>150</v>
      </c>
      <c r="C52" s="91">
        <v>4880</v>
      </c>
      <c r="D52" s="88">
        <v>-2.8855721399999999E-2</v>
      </c>
      <c r="E52" s="89">
        <v>4575534.7311121896</v>
      </c>
      <c r="F52" s="35"/>
    </row>
    <row r="53" spans="1:18" ht="17.25" thickBot="1">
      <c r="A53" s="40" t="s">
        <v>77</v>
      </c>
      <c r="B53" s="11" t="s">
        <v>78</v>
      </c>
      <c r="C53" s="91">
        <v>1576500</v>
      </c>
      <c r="D53" s="88">
        <v>-2.8949799799999999E-2</v>
      </c>
      <c r="E53" s="89">
        <v>166479.49717751</v>
      </c>
      <c r="F53" s="35"/>
      <c r="G53" s="249" t="s">
        <v>285</v>
      </c>
      <c r="H53" s="250"/>
      <c r="I53" s="250"/>
      <c r="J53" s="251"/>
      <c r="K53" s="249" t="s">
        <v>288</v>
      </c>
      <c r="L53" s="250"/>
      <c r="M53" s="250"/>
      <c r="N53" s="251"/>
      <c r="O53" s="249" t="s">
        <v>289</v>
      </c>
      <c r="P53" s="250"/>
      <c r="Q53" s="250"/>
      <c r="R53" s="251"/>
    </row>
    <row r="54" spans="1:18" ht="17.25" thickBot="1">
      <c r="A54" s="40" t="s">
        <v>257</v>
      </c>
      <c r="B54" s="11" t="s">
        <v>258</v>
      </c>
      <c r="C54" s="91">
        <v>592</v>
      </c>
      <c r="D54" s="88">
        <v>-2.9508196699999999E-2</v>
      </c>
      <c r="E54" s="89">
        <v>8061148.9498208398</v>
      </c>
      <c r="F54" s="35"/>
      <c r="G54" s="314" t="s">
        <v>55</v>
      </c>
      <c r="H54" s="335">
        <f ca="1">NOW()</f>
        <v>44332.00507939815</v>
      </c>
      <c r="I54" s="336"/>
      <c r="J54" s="337"/>
      <c r="K54" s="326" t="s">
        <v>55</v>
      </c>
      <c r="L54" s="335">
        <f ca="1">NOW()</f>
        <v>44332.00507939815</v>
      </c>
      <c r="M54" s="336"/>
      <c r="N54" s="337"/>
      <c r="O54" s="326" t="s">
        <v>55</v>
      </c>
      <c r="P54" s="335">
        <f ca="1">NOW()</f>
        <v>44332.00507939815</v>
      </c>
      <c r="Q54" s="336"/>
      <c r="R54" s="337"/>
    </row>
    <row r="55" spans="1:18" ht="17.25" thickBot="1">
      <c r="A55" s="40" t="s">
        <v>131</v>
      </c>
      <c r="B55" s="11" t="s">
        <v>132</v>
      </c>
      <c r="C55" s="91">
        <v>224</v>
      </c>
      <c r="D55" s="88">
        <v>-3.0303030299999999E-2</v>
      </c>
      <c r="E55" s="89">
        <v>396637574.33481401</v>
      </c>
      <c r="F55" s="35"/>
      <c r="G55" s="311"/>
      <c r="H55" s="36" t="s">
        <v>58</v>
      </c>
      <c r="I55" s="69" t="s">
        <v>59</v>
      </c>
      <c r="J55" s="65" t="s">
        <v>294</v>
      </c>
      <c r="K55" s="311"/>
      <c r="L55" s="36" t="s">
        <v>58</v>
      </c>
      <c r="M55" s="69" t="s">
        <v>59</v>
      </c>
      <c r="N55" s="65" t="s">
        <v>294</v>
      </c>
      <c r="O55" s="311"/>
      <c r="P55" s="36" t="s">
        <v>58</v>
      </c>
      <c r="Q55" s="69" t="s">
        <v>59</v>
      </c>
      <c r="R55" s="65" t="s">
        <v>294</v>
      </c>
    </row>
    <row r="56" spans="1:18">
      <c r="A56" s="40" t="s">
        <v>157</v>
      </c>
      <c r="B56" s="11" t="s">
        <v>158</v>
      </c>
      <c r="C56" s="91">
        <v>8540</v>
      </c>
      <c r="D56" s="88">
        <v>-3.0646992099999999E-2</v>
      </c>
      <c r="E56" s="89">
        <v>751989.04590827995</v>
      </c>
      <c r="F56" s="35"/>
      <c r="G56" s="55" t="str">
        <f ca="1">IFERROR(OFFSET(INDIRECT($H$3 &amp; "!A179"), 0, 0), "")</f>
        <v>아크</v>
      </c>
      <c r="H56" s="38">
        <f t="shared" ref="H56:H65" ca="1" si="16">_xlfn.IFNA(VLOOKUP(G56, $B$2:$D$200, 2, FALSE), "")</f>
        <v>2150</v>
      </c>
      <c r="I56" s="72">
        <f t="shared" ref="I56:I65" ca="1" si="17">_xlfn.IFNA(VLOOKUP(G56, $B$2:$D$200, 3, FALSE), "")</f>
        <v>-4.8672566399999999E-2</v>
      </c>
      <c r="J56" s="81">
        <f ca="1">_xlfn.IFNA(VLOOKUP(G56, $B$2:$E$200, 4, FALSE), "")</f>
        <v>1574247.2868743101</v>
      </c>
      <c r="K56" s="55" t="str">
        <f ca="1">IFERROR(OFFSET(INDIRECT($H$3 &amp; "!A125"), 0, 0), "")</f>
        <v>에브리피디아</v>
      </c>
      <c r="L56" s="38">
        <f t="shared" ref="L56:L75" ca="1" si="18">_xlfn.IFNA(VLOOKUP(K56, $B$2:$D$200, 2, FALSE), "")</f>
        <v>22.4</v>
      </c>
      <c r="M56" s="72">
        <f t="shared" ref="M56:M75" ca="1" si="19">_xlfn.IFNA(VLOOKUP(K56, $B$2:$D$200, 3, FALSE), "")</f>
        <v>-7.4380165299999995E-2</v>
      </c>
      <c r="N56" s="81">
        <f ca="1">_xlfn.IFNA(VLOOKUP(K56, $B$2:$E$200, 4, FALSE), "")</f>
        <v>669468225.55773163</v>
      </c>
      <c r="O56" s="55" t="str">
        <f ca="1">IFERROR(OFFSET(INDIRECT($H$3 &amp; "!A152"), 0, 0), "")</f>
        <v>비체인</v>
      </c>
      <c r="P56" s="38">
        <f t="shared" ref="P56:P75" ca="1" si="20">_xlfn.IFNA(VLOOKUP(O56, $B$2:$D$200, 2, FALSE), "")</f>
        <v>224</v>
      </c>
      <c r="Q56" s="72">
        <f t="shared" ref="Q56:Q75" ca="1" si="21">_xlfn.IFNA(VLOOKUP(O56, $B$2:$D$200, 3, FALSE), "")</f>
        <v>-3.0303030299999999E-2</v>
      </c>
      <c r="R56" s="81">
        <f ca="1">_xlfn.IFNA(VLOOKUP(O56, $B$2:$E$200, 4, FALSE), "")</f>
        <v>396637574.33481401</v>
      </c>
    </row>
    <row r="57" spans="1:18">
      <c r="A57" s="40" t="s">
        <v>103</v>
      </c>
      <c r="B57" s="11" t="s">
        <v>104</v>
      </c>
      <c r="C57" s="91">
        <v>2615</v>
      </c>
      <c r="D57" s="88">
        <v>-3.1481481499999998E-2</v>
      </c>
      <c r="E57" s="89">
        <v>12139877.198473699</v>
      </c>
      <c r="F57" s="35"/>
      <c r="G57" s="56" t="str">
        <f ca="1">IFERROR(OFFSET(INDIRECT($H$3 &amp; "!A179"), 1, 0), "")</f>
        <v>그로스톨코인</v>
      </c>
      <c r="H57" s="39">
        <f t="shared" ca="1" si="16"/>
        <v>1480</v>
      </c>
      <c r="I57" s="73">
        <f t="shared" ca="1" si="17"/>
        <v>-5.1282051299999999E-2</v>
      </c>
      <c r="J57" s="82">
        <f t="shared" ref="J57:J75" ca="1" si="22">_xlfn.IFNA(VLOOKUP(G57, $B$2:$E$200, 4, FALSE), "")</f>
        <v>4349066.3514020396</v>
      </c>
      <c r="K57" s="56" t="str">
        <f ca="1">IFERROR(OFFSET(INDIRECT($H$3 &amp; "!A125"), 1, 0), "")</f>
        <v>스톰엑스</v>
      </c>
      <c r="L57" s="39">
        <f t="shared" ca="1" si="18"/>
        <v>49.7</v>
      </c>
      <c r="M57" s="73">
        <f t="shared" ca="1" si="19"/>
        <v>2.0161290000000002E-3</v>
      </c>
      <c r="N57" s="82">
        <f t="shared" ref="N57:N75" ca="1" si="23">_xlfn.IFNA(VLOOKUP(K57, $B$2:$E$200, 4, FALSE), "")</f>
        <v>495343034.2513895</v>
      </c>
      <c r="O57" s="56" t="str">
        <f ca="1">IFERROR(OFFSET(INDIRECT($H$3 &amp; "!A152"), 1, 0), "")</f>
        <v>플레이댑</v>
      </c>
      <c r="P57" s="39">
        <f t="shared" ca="1" si="20"/>
        <v>446</v>
      </c>
      <c r="Q57" s="73">
        <f t="shared" ca="1" si="21"/>
        <v>2.0594965699999999E-2</v>
      </c>
      <c r="R57" s="82">
        <f t="shared" ref="R57:R75" ca="1" si="24">_xlfn.IFNA(VLOOKUP(O57, $B$2:$E$200, 4, FALSE), "")</f>
        <v>104379599.81472524</v>
      </c>
    </row>
    <row r="58" spans="1:18">
      <c r="A58" s="40" t="s">
        <v>187</v>
      </c>
      <c r="B58" s="11" t="s">
        <v>188</v>
      </c>
      <c r="C58" s="91">
        <v>26240</v>
      </c>
      <c r="D58" s="88">
        <v>-3.1734317300000002E-2</v>
      </c>
      <c r="E58" s="89">
        <v>7831522.12818792</v>
      </c>
      <c r="F58" s="35"/>
      <c r="G58" s="56" t="str">
        <f ca="1">IFERROR(OFFSET(INDIRECT($H$3 &amp; "!A179"), 2, 0), "")</f>
        <v>베이직어텐션토큰</v>
      </c>
      <c r="H58" s="39">
        <f t="shared" ca="1" si="16"/>
        <v>1465</v>
      </c>
      <c r="I58" s="73">
        <f t="shared" ca="1" si="17"/>
        <v>-2.6578073099999999E-2</v>
      </c>
      <c r="J58" s="82">
        <f t="shared" ca="1" si="22"/>
        <v>5227614.6844521603</v>
      </c>
      <c r="K58" s="56" t="str">
        <f ca="1">IFERROR(OFFSET(INDIRECT($H$3 &amp; "!A125"), 2, 0), "")</f>
        <v>시아코인</v>
      </c>
      <c r="L58" s="39">
        <f t="shared" ca="1" si="18"/>
        <v>37.9</v>
      </c>
      <c r="M58" s="73">
        <f t="shared" ca="1" si="19"/>
        <v>-5.2499999999999998E-2</v>
      </c>
      <c r="N58" s="82">
        <f t="shared" ca="1" si="23"/>
        <v>416673587.46833891</v>
      </c>
      <c r="O58" s="56" t="str">
        <f ca="1">IFERROR(OFFSET(INDIRECT($H$3 &amp; "!A152"), 2, 0), "")</f>
        <v>엘프</v>
      </c>
      <c r="P58" s="39">
        <f t="shared" ca="1" si="20"/>
        <v>470</v>
      </c>
      <c r="Q58" s="73">
        <f t="shared" ca="1" si="21"/>
        <v>-6.7460317500000005E-2</v>
      </c>
      <c r="R58" s="82">
        <f t="shared" ca="1" si="24"/>
        <v>10427467.45043123</v>
      </c>
    </row>
    <row r="59" spans="1:18">
      <c r="A59" s="40" t="s">
        <v>109</v>
      </c>
      <c r="B59" s="11" t="s">
        <v>110</v>
      </c>
      <c r="C59" s="91">
        <v>2560</v>
      </c>
      <c r="D59" s="88">
        <v>-3.2136105900000003E-2</v>
      </c>
      <c r="E59" s="89">
        <v>2033137.38322937</v>
      </c>
      <c r="F59" s="35"/>
      <c r="G59" s="56" t="str">
        <f ca="1">IFERROR(OFFSET(INDIRECT($H$3 &amp; "!A179"), 3, 0), "")</f>
        <v>쎄타퓨엘</v>
      </c>
      <c r="H59" s="39">
        <f t="shared" ca="1" si="16"/>
        <v>405</v>
      </c>
      <c r="I59" s="73">
        <f t="shared" ca="1" si="17"/>
        <v>-3.8004750599999998E-2</v>
      </c>
      <c r="J59" s="82">
        <f t="shared" ca="1" si="22"/>
        <v>15847896.158996491</v>
      </c>
      <c r="K59" s="56" t="str">
        <f ca="1">IFERROR(OFFSET(INDIRECT($H$3 &amp; "!A125"), 3, 0), "")</f>
        <v>메인프레임</v>
      </c>
      <c r="L59" s="39">
        <f t="shared" ca="1" si="18"/>
        <v>18.399999999999999</v>
      </c>
      <c r="M59" s="73">
        <f t="shared" ca="1" si="19"/>
        <v>2.2222222199999999E-2</v>
      </c>
      <c r="N59" s="82">
        <f t="shared" ca="1" si="23"/>
        <v>2657865152.620266</v>
      </c>
      <c r="O59" s="56" t="str">
        <f ca="1">IFERROR(OFFSET(INDIRECT($H$3 &amp; "!A152"), 3, 0), "")</f>
        <v>피르마체인</v>
      </c>
      <c r="P59" s="39">
        <f t="shared" ca="1" si="20"/>
        <v>171</v>
      </c>
      <c r="Q59" s="73">
        <f t="shared" ca="1" si="21"/>
        <v>1.7857142900000001E-2</v>
      </c>
      <c r="R59" s="82">
        <f t="shared" ca="1" si="24"/>
        <v>142642306.33189583</v>
      </c>
    </row>
    <row r="60" spans="1:18">
      <c r="A60" s="40" t="s">
        <v>253</v>
      </c>
      <c r="B60" s="11" t="s">
        <v>254</v>
      </c>
      <c r="C60" s="91">
        <v>71.7</v>
      </c>
      <c r="D60" s="88">
        <v>-3.2388663999999998E-2</v>
      </c>
      <c r="E60" s="89">
        <v>225734358.63439456</v>
      </c>
      <c r="F60" s="35"/>
      <c r="G60" s="56" t="str">
        <f ca="1">IFERROR(OFFSET(INDIRECT($H$3 &amp; "!A179"), 4, 0), "")</f>
        <v>비트코인</v>
      </c>
      <c r="H60" s="39">
        <f t="shared" ca="1" si="16"/>
        <v>60874000</v>
      </c>
      <c r="I60" s="73">
        <f t="shared" ca="1" si="17"/>
        <v>-1.4936000099999999E-2</v>
      </c>
      <c r="J60" s="86">
        <f t="shared" ca="1" si="22"/>
        <v>12542.28582714</v>
      </c>
      <c r="K60" s="58" t="str">
        <f ca="1">IFERROR(OFFSET(INDIRECT($H$3 &amp; "!A125"), 4, 0), "")</f>
        <v>아하토큰</v>
      </c>
      <c r="L60" s="44">
        <f t="shared" ca="1" si="18"/>
        <v>15.7</v>
      </c>
      <c r="M60" s="74">
        <f t="shared" ca="1" si="19"/>
        <v>-4.8484848499999997E-2</v>
      </c>
      <c r="N60" s="86">
        <f t="shared" ca="1" si="23"/>
        <v>234789579.15731609</v>
      </c>
      <c r="O60" s="58" t="str">
        <f ca="1">IFERROR(OFFSET(INDIRECT($H$3 &amp; "!A152"), 4, 0), "")</f>
        <v>헌트</v>
      </c>
      <c r="P60" s="44">
        <f t="shared" ca="1" si="20"/>
        <v>346</v>
      </c>
      <c r="Q60" s="74">
        <f t="shared" ca="1" si="21"/>
        <v>5.4878048800000002E-2</v>
      </c>
      <c r="R60" s="86">
        <f t="shared" ca="1" si="24"/>
        <v>306909751.128295</v>
      </c>
    </row>
    <row r="61" spans="1:18">
      <c r="A61" s="40" t="s">
        <v>153</v>
      </c>
      <c r="B61" s="11" t="s">
        <v>154</v>
      </c>
      <c r="C61" s="91">
        <v>17.600000000000001</v>
      </c>
      <c r="D61" s="88">
        <v>-3.2967033E-2</v>
      </c>
      <c r="E61" s="89">
        <v>526128161.59523439</v>
      </c>
      <c r="F61" s="35"/>
      <c r="G61" s="60" t="str">
        <f ca="1">IFERROR(OFFSET(INDIRECT($H$3 &amp; "!A179"), 5, 0), "")</f>
        <v>람다</v>
      </c>
      <c r="H61" s="45">
        <f t="shared" ca="1" si="16"/>
        <v>79</v>
      </c>
      <c r="I61" s="76">
        <f t="shared" ca="1" si="17"/>
        <v>-4.2424242399999999E-2</v>
      </c>
      <c r="J61" s="95">
        <f t="shared" ca="1" si="22"/>
        <v>121653863.38713455</v>
      </c>
      <c r="K61" s="56" t="str">
        <f ca="1">IFERROR(OFFSET(INDIRECT($H$3 &amp; "!A125"), 5, 0), "")</f>
        <v>아이오에스티</v>
      </c>
      <c r="L61" s="39">
        <f t="shared" ca="1" si="18"/>
        <v>61.6</v>
      </c>
      <c r="M61" s="73">
        <f t="shared" ca="1" si="19"/>
        <v>-4.6439628500000003E-2</v>
      </c>
      <c r="N61" s="95">
        <f t="shared" ca="1" si="23"/>
        <v>92270667.10971342</v>
      </c>
      <c r="O61" s="56" t="str">
        <f ca="1">IFERROR(OFFSET(INDIRECT($H$3 &amp; "!A152"), 5, 0), "")</f>
        <v>아르고</v>
      </c>
      <c r="P61" s="39">
        <f t="shared" ca="1" si="20"/>
        <v>305</v>
      </c>
      <c r="Q61" s="73">
        <f t="shared" ca="1" si="21"/>
        <v>-2.5559105400000001E-2</v>
      </c>
      <c r="R61" s="95">
        <f t="shared" ca="1" si="24"/>
        <v>12543910.28568789</v>
      </c>
    </row>
    <row r="62" spans="1:18">
      <c r="A62" s="40" t="s">
        <v>111</v>
      </c>
      <c r="B62" s="11" t="s">
        <v>112</v>
      </c>
      <c r="C62" s="91">
        <v>226</v>
      </c>
      <c r="D62" s="88">
        <v>-3.4188034200000002E-2</v>
      </c>
      <c r="E62" s="89">
        <v>46547070.56972038</v>
      </c>
      <c r="F62" s="35"/>
      <c r="G62" s="56" t="str">
        <f ca="1">IFERROR(OFFSET(INDIRECT($H$3 &amp; "!A179"), 6, 0), "")</f>
        <v>애드엑스</v>
      </c>
      <c r="H62" s="39">
        <f t="shared" ca="1" si="16"/>
        <v>1360</v>
      </c>
      <c r="I62" s="73">
        <f t="shared" ca="1" si="17"/>
        <v>-5.5555555600000001E-2</v>
      </c>
      <c r="J62" s="82">
        <f t="shared" ca="1" si="22"/>
        <v>1418424.4373436901</v>
      </c>
      <c r="K62" s="56" t="str">
        <f ca="1">IFERROR(OFFSET(INDIRECT($H$3 &amp; "!A125"), 6, 0), "")</f>
        <v>엠블</v>
      </c>
      <c r="L62" s="39">
        <f t="shared" ca="1" si="18"/>
        <v>23.4</v>
      </c>
      <c r="M62" s="73">
        <f t="shared" ca="1" si="19"/>
        <v>-4.4897959199999997E-2</v>
      </c>
      <c r="N62" s="82">
        <f t="shared" ca="1" si="23"/>
        <v>473599023.278274</v>
      </c>
      <c r="O62" s="56" t="str">
        <f ca="1">IFERROR(OFFSET(INDIRECT($H$3 &amp; "!A152"), 6, 0), "")</f>
        <v>이그니스</v>
      </c>
      <c r="P62" s="39">
        <f t="shared" ca="1" si="20"/>
        <v>151</v>
      </c>
      <c r="Q62" s="73">
        <f t="shared" ca="1" si="21"/>
        <v>0</v>
      </c>
      <c r="R62" s="82">
        <f t="shared" ca="1" si="24"/>
        <v>100236104.07215048</v>
      </c>
    </row>
    <row r="63" spans="1:18">
      <c r="A63" s="40" t="s">
        <v>283</v>
      </c>
      <c r="B63" s="11" t="s">
        <v>284</v>
      </c>
      <c r="C63" s="91">
        <v>407</v>
      </c>
      <c r="D63" s="88">
        <v>-3.5545023699999997E-2</v>
      </c>
      <c r="E63" s="89">
        <v>12575861.66561681</v>
      </c>
      <c r="F63" s="35"/>
      <c r="G63" s="56" t="str">
        <f ca="1">IFERROR(OFFSET(INDIRECT($H$3 &amp; "!A179"), 7, 0), "")</f>
        <v>아이오타</v>
      </c>
      <c r="H63" s="39">
        <f t="shared" ca="1" si="16"/>
        <v>2485</v>
      </c>
      <c r="I63" s="73">
        <f t="shared" ca="1" si="17"/>
        <v>-1.77865613E-2</v>
      </c>
      <c r="J63" s="82">
        <f t="shared" ca="1" si="22"/>
        <v>1241088.2226606801</v>
      </c>
      <c r="K63" s="56" t="str">
        <f ca="1">IFERROR(OFFSET(INDIRECT($H$3 &amp; "!A125"), 7, 0), "")</f>
        <v>무비블록</v>
      </c>
      <c r="L63" s="39">
        <f t="shared" ca="1" si="18"/>
        <v>15.4</v>
      </c>
      <c r="M63" s="73">
        <f t="shared" ca="1" si="19"/>
        <v>-4.9382716E-2</v>
      </c>
      <c r="N63" s="82">
        <f t="shared" ca="1" si="23"/>
        <v>641040889.23240316</v>
      </c>
      <c r="O63" s="56" t="str">
        <f ca="1">IFERROR(OFFSET(INDIRECT($H$3 &amp; "!A152"), 7, 0), "")</f>
        <v>휴먼스케이프</v>
      </c>
      <c r="P63" s="39">
        <f t="shared" ca="1" si="20"/>
        <v>155</v>
      </c>
      <c r="Q63" s="73">
        <f t="shared" ca="1" si="21"/>
        <v>4.0268456399999999E-2</v>
      </c>
      <c r="R63" s="82">
        <f t="shared" ca="1" si="24"/>
        <v>155502081.61877424</v>
      </c>
    </row>
    <row r="64" spans="1:18">
      <c r="A64" s="40" t="s">
        <v>97</v>
      </c>
      <c r="B64" s="11" t="s">
        <v>98</v>
      </c>
      <c r="C64" s="91">
        <v>7600</v>
      </c>
      <c r="D64" s="88">
        <v>-3.6755386600000002E-2</v>
      </c>
      <c r="E64" s="89">
        <v>3016534.0161237102</v>
      </c>
      <c r="F64" s="35"/>
      <c r="G64" s="56" t="str">
        <f ca="1">IFERROR(OFFSET(INDIRECT($H$3 &amp; "!A179"), 8, 0), "")</f>
        <v>메타디움</v>
      </c>
      <c r="H64" s="39">
        <f t="shared" ca="1" si="16"/>
        <v>163</v>
      </c>
      <c r="I64" s="73">
        <f t="shared" ca="1" si="17"/>
        <v>-4.1176470600000001E-2</v>
      </c>
      <c r="J64" s="82">
        <f t="shared" ca="1" si="22"/>
        <v>67675728.055512086</v>
      </c>
      <c r="K64" s="56" t="str">
        <f ca="1">IFERROR(OFFSET(INDIRECT($H$3 &amp; "!A125"), 8, 0), "")</f>
        <v>썬더토큰</v>
      </c>
      <c r="L64" s="39">
        <f t="shared" ca="1" si="18"/>
        <v>17.600000000000001</v>
      </c>
      <c r="M64" s="73">
        <f t="shared" ca="1" si="19"/>
        <v>-2.7624309400000002E-2</v>
      </c>
      <c r="N64" s="82">
        <f t="shared" ca="1" si="23"/>
        <v>391735004.34278429</v>
      </c>
      <c r="O64" s="56" t="str">
        <f ca="1">IFERROR(OFFSET(INDIRECT($H$3 &amp; "!A152"), 8, 0), "")</f>
        <v>스텔라루멘</v>
      </c>
      <c r="P64" s="39">
        <f t="shared" ca="1" si="20"/>
        <v>888</v>
      </c>
      <c r="Q64" s="73">
        <f t="shared" ca="1" si="21"/>
        <v>7.7669902900000004E-2</v>
      </c>
      <c r="R64" s="82">
        <f t="shared" ca="1" si="24"/>
        <v>396022834.09353095</v>
      </c>
    </row>
    <row r="65" spans="1:18" ht="17.25" thickBot="1">
      <c r="A65" s="40" t="s">
        <v>71</v>
      </c>
      <c r="B65" s="11" t="s">
        <v>72</v>
      </c>
      <c r="C65" s="91">
        <v>31.2</v>
      </c>
      <c r="D65" s="88">
        <v>-3.7037037000000002E-2</v>
      </c>
      <c r="E65" s="89">
        <v>66073535.463473022</v>
      </c>
      <c r="F65" s="35"/>
      <c r="G65" s="57" t="str">
        <f ca="1">IFERROR(OFFSET(INDIRECT($H$3 &amp; "!A179"), 9, 0), "")</f>
        <v>아인스타이늄</v>
      </c>
      <c r="H65" s="37">
        <f t="shared" ca="1" si="16"/>
        <v>438</v>
      </c>
      <c r="I65" s="75">
        <f t="shared" ca="1" si="17"/>
        <v>-4.5751633999999999E-2</v>
      </c>
      <c r="J65" s="83">
        <f t="shared" ca="1" si="22"/>
        <v>15012336.66026663</v>
      </c>
      <c r="K65" s="57" t="str">
        <f ca="1">IFERROR(OFFSET(INDIRECT($H$3 &amp; "!A125"), 9, 0), "")</f>
        <v>캐리프로토콜</v>
      </c>
      <c r="L65" s="37">
        <f t="shared" ca="1" si="18"/>
        <v>17.600000000000001</v>
      </c>
      <c r="M65" s="75">
        <f t="shared" ca="1" si="19"/>
        <v>-3.2967033E-2</v>
      </c>
      <c r="N65" s="83">
        <f t="shared" ca="1" si="23"/>
        <v>526128161.59523439</v>
      </c>
      <c r="O65" s="57" t="str">
        <f ca="1">IFERROR(OFFSET(INDIRECT($H$3 &amp; "!A152"), 9, 0), "")</f>
        <v>골렘</v>
      </c>
      <c r="P65" s="37">
        <f t="shared" ca="1" si="20"/>
        <v>500</v>
      </c>
      <c r="Q65" s="75">
        <f t="shared" ca="1" si="21"/>
        <v>-3.8461538500000003E-2</v>
      </c>
      <c r="R65" s="83">
        <f t="shared" ca="1" si="24"/>
        <v>10645668.33615436</v>
      </c>
    </row>
    <row r="66" spans="1:18">
      <c r="A66" s="40" t="s">
        <v>273</v>
      </c>
      <c r="B66" s="11" t="s">
        <v>274</v>
      </c>
      <c r="C66" s="91">
        <v>7510</v>
      </c>
      <c r="D66" s="88">
        <v>-3.71794872E-2</v>
      </c>
      <c r="E66" s="89">
        <v>267765.40908214002</v>
      </c>
      <c r="F66" s="35"/>
      <c r="G66" s="56" t="str">
        <f ca="1">IFERROR(OFFSET(INDIRECT($H$3 &amp; "!A179"), 10, 0), "")</f>
        <v>코박토큰</v>
      </c>
      <c r="H66" s="38">
        <f t="shared" ref="H66:H75" ca="1" si="25">_xlfn.IFNA(VLOOKUP(G66, $B$2:$D$200, 2, FALSE), "")</f>
        <v>7020</v>
      </c>
      <c r="I66" s="72">
        <f t="shared" ref="I66:I75" ca="1" si="26">_xlfn.IFNA(VLOOKUP(G66, $B$2:$D$200, 3, FALSE), "")</f>
        <v>-4.4897959199999997E-2</v>
      </c>
      <c r="J66" s="81">
        <f t="shared" ca="1" si="22"/>
        <v>1576088.8533151499</v>
      </c>
      <c r="K66" s="55" t="str">
        <f ca="1">IFERROR(OFFSET(INDIRECT($H$3 &amp; "!A125"), 10, 0), "")</f>
        <v>옵저버</v>
      </c>
      <c r="L66" s="38">
        <f t="shared" ca="1" si="18"/>
        <v>23</v>
      </c>
      <c r="M66" s="72">
        <f t="shared" ca="1" si="19"/>
        <v>-5.3497942399999998E-2</v>
      </c>
      <c r="N66" s="81">
        <f t="shared" ca="1" si="23"/>
        <v>302088517.90899241</v>
      </c>
      <c r="O66" s="55" t="str">
        <f ca="1">IFERROR(OFFSET(INDIRECT($H$3 &amp; "!A152"), 10, 0), "")</f>
        <v>픽셀</v>
      </c>
      <c r="P66" s="38">
        <f t="shared" ca="1" si="20"/>
        <v>102</v>
      </c>
      <c r="Q66" s="72">
        <f t="shared" ca="1" si="21"/>
        <v>-3.7735849100000003E-2</v>
      </c>
      <c r="R66" s="81">
        <f t="shared" ca="1" si="24"/>
        <v>82339193.967049837</v>
      </c>
    </row>
    <row r="67" spans="1:18">
      <c r="A67" s="40" t="s">
        <v>121</v>
      </c>
      <c r="B67" s="11" t="s">
        <v>122</v>
      </c>
      <c r="C67" s="91">
        <v>102</v>
      </c>
      <c r="D67" s="88">
        <v>-3.7735849100000003E-2</v>
      </c>
      <c r="E67" s="89">
        <v>82339193.967049837</v>
      </c>
      <c r="F67" s="35"/>
      <c r="G67" s="56" t="str">
        <f ca="1">IFERROR(OFFSET(INDIRECT($H$3 &amp; "!A179"), 11, 0), "")</f>
        <v>던프로토콜</v>
      </c>
      <c r="H67" s="39">
        <f t="shared" ca="1" si="25"/>
        <v>6375</v>
      </c>
      <c r="I67" s="73">
        <f t="shared" ca="1" si="26"/>
        <v>-6.25E-2</v>
      </c>
      <c r="J67" s="82">
        <f t="shared" ca="1" si="22"/>
        <v>5567396.4726426704</v>
      </c>
      <c r="K67" s="56" t="str">
        <f ca="1">IFERROR(OFFSET(INDIRECT($H$3 &amp; "!A125"), 11, 0), "")</f>
        <v>에스티피</v>
      </c>
      <c r="L67" s="39">
        <f t="shared" ca="1" si="18"/>
        <v>88</v>
      </c>
      <c r="M67" s="73">
        <f t="shared" ca="1" si="19"/>
        <v>-4.55531453E-2</v>
      </c>
      <c r="N67" s="82">
        <f t="shared" ca="1" si="23"/>
        <v>65032456.310953617</v>
      </c>
      <c r="O67" s="56" t="str">
        <f ca="1">IFERROR(OFFSET(INDIRECT($H$3 &amp; "!A152"), 11, 0), "")</f>
        <v>크립토닷컴체인</v>
      </c>
      <c r="P67" s="39">
        <f t="shared" ca="1" si="20"/>
        <v>199</v>
      </c>
      <c r="Q67" s="73">
        <f t="shared" ca="1" si="21"/>
        <v>-1.97044335E-2</v>
      </c>
      <c r="R67" s="82">
        <f t="shared" ca="1" si="24"/>
        <v>49627546.767749861</v>
      </c>
    </row>
    <row r="68" spans="1:18">
      <c r="A68" s="40" t="s">
        <v>68</v>
      </c>
      <c r="B68" s="11" t="s">
        <v>69</v>
      </c>
      <c r="C68" s="91">
        <v>10380</v>
      </c>
      <c r="D68" s="88">
        <v>-3.7998146400000002E-2</v>
      </c>
      <c r="E68" s="89">
        <v>813624.31428809999</v>
      </c>
      <c r="F68" s="35"/>
      <c r="G68" s="56" t="str">
        <f ca="1">IFERROR(OFFSET(INDIRECT($H$3 &amp; "!A179"), 12, 0), "")</f>
        <v>스트라티스</v>
      </c>
      <c r="H68" s="39">
        <f t="shared" ca="1" si="25"/>
        <v>4280</v>
      </c>
      <c r="I68" s="73">
        <f t="shared" ca="1" si="26"/>
        <v>-6.1403508799999999E-2</v>
      </c>
      <c r="J68" s="82">
        <f t="shared" ca="1" si="22"/>
        <v>3576002.7683037701</v>
      </c>
      <c r="K68" s="56" t="str">
        <f ca="1">IFERROR(OFFSET(INDIRECT($H$3 &amp; "!A125"), 12, 0), "")</f>
        <v>비트토렌트</v>
      </c>
      <c r="L68" s="39">
        <f t="shared" ca="1" si="18"/>
        <v>7.38</v>
      </c>
      <c r="M68" s="73">
        <f t="shared" ca="1" si="19"/>
        <v>-2.3809523799999999E-2</v>
      </c>
      <c r="N68" s="82">
        <f t="shared" ca="1" si="23"/>
        <v>20073649903.063255</v>
      </c>
      <c r="O68" s="56" t="str">
        <f ca="1">IFERROR(OFFSET(INDIRECT($H$3 &amp; "!A152"), 12, 0), "")</f>
        <v>디카르고</v>
      </c>
      <c r="P68" s="39">
        <f t="shared" ca="1" si="20"/>
        <v>226</v>
      </c>
      <c r="Q68" s="73">
        <f t="shared" ca="1" si="21"/>
        <v>-3.4188034200000002E-2</v>
      </c>
      <c r="R68" s="82">
        <f t="shared" ca="1" si="24"/>
        <v>46547070.56972038</v>
      </c>
    </row>
    <row r="69" spans="1:18">
      <c r="A69" s="40" t="s">
        <v>141</v>
      </c>
      <c r="B69" s="11" t="s">
        <v>142</v>
      </c>
      <c r="C69" s="91">
        <v>405</v>
      </c>
      <c r="D69" s="88">
        <v>-3.8004750599999998E-2</v>
      </c>
      <c r="E69" s="89">
        <v>15847896.158996491</v>
      </c>
      <c r="F69" s="35"/>
      <c r="G69" s="56" t="str">
        <f ca="1">IFERROR(OFFSET(INDIRECT($H$3 &amp; "!A179"), 13, 0), "")</f>
        <v>헤데라해시그래프</v>
      </c>
      <c r="H69" s="39">
        <f t="shared" ca="1" si="25"/>
        <v>389</v>
      </c>
      <c r="I69" s="73">
        <f t="shared" ca="1" si="26"/>
        <v>-6.2650602400000005E-2</v>
      </c>
      <c r="J69" s="82">
        <f t="shared" ca="1" si="22"/>
        <v>130006559.95466971</v>
      </c>
      <c r="K69" s="56" t="str">
        <f ca="1">IFERROR(OFFSET(INDIRECT($H$3 &amp; "!A125"), 13, 0), "")</f>
        <v>퀴즈톡</v>
      </c>
      <c r="L69" s="39">
        <f t="shared" ca="1" si="18"/>
        <v>71.7</v>
      </c>
      <c r="M69" s="73">
        <f t="shared" ca="1" si="19"/>
        <v>-3.2388663999999998E-2</v>
      </c>
      <c r="N69" s="82">
        <f t="shared" ca="1" si="23"/>
        <v>225734358.63439456</v>
      </c>
      <c r="O69" s="56" t="str">
        <f ca="1">IFERROR(OFFSET(INDIRECT($H$3 &amp; "!A152"), 13, 0), "")</f>
        <v>하이브</v>
      </c>
      <c r="P69" s="39">
        <f t="shared" ca="1" si="20"/>
        <v>592</v>
      </c>
      <c r="Q69" s="73">
        <f t="shared" ca="1" si="21"/>
        <v>-2.9508196699999999E-2</v>
      </c>
      <c r="R69" s="82">
        <f t="shared" ca="1" si="24"/>
        <v>8061148.9498208398</v>
      </c>
    </row>
    <row r="70" spans="1:18">
      <c r="A70" s="40" t="s">
        <v>269</v>
      </c>
      <c r="B70" s="11" t="s">
        <v>270</v>
      </c>
      <c r="C70" s="91">
        <v>500</v>
      </c>
      <c r="D70" s="88">
        <v>-3.8461538500000003E-2</v>
      </c>
      <c r="E70" s="89">
        <v>10645668.33615436</v>
      </c>
      <c r="F70" s="35"/>
      <c r="G70" s="56" t="str">
        <f ca="1">IFERROR(OFFSET(INDIRECT($H$3 &amp; "!A179"), 14, 0), "")</f>
        <v>엔도르</v>
      </c>
      <c r="H70" s="39">
        <f t="shared" ca="1" si="25"/>
        <v>70.7</v>
      </c>
      <c r="I70" s="73">
        <f t="shared" ca="1" si="26"/>
        <v>-2.7510316399999998E-2</v>
      </c>
      <c r="J70" s="86">
        <f t="shared" ca="1" si="22"/>
        <v>1160036204.7035651</v>
      </c>
      <c r="K70" s="58" t="str">
        <f ca="1">IFERROR(OFFSET(INDIRECT($H$3 &amp; "!A125"), 14, 0), "")</f>
        <v>리퍼리움</v>
      </c>
      <c r="L70" s="44">
        <f t="shared" ca="1" si="18"/>
        <v>19.100000000000001</v>
      </c>
      <c r="M70" s="74">
        <f t="shared" ca="1" si="19"/>
        <v>-4.0201004999999998E-2</v>
      </c>
      <c r="N70" s="86">
        <f t="shared" ca="1" si="23"/>
        <v>839892003.44279563</v>
      </c>
      <c r="O70" s="58" t="str">
        <f ca="1">IFERROR(OFFSET(INDIRECT($H$3 &amp; "!A152"), 14, 0), "")</f>
        <v>쎄타퓨엘</v>
      </c>
      <c r="P70" s="44">
        <f t="shared" ca="1" si="20"/>
        <v>405</v>
      </c>
      <c r="Q70" s="74">
        <f t="shared" ca="1" si="21"/>
        <v>-3.8004750599999998E-2</v>
      </c>
      <c r="R70" s="86">
        <f t="shared" ca="1" si="24"/>
        <v>15847896.158996491</v>
      </c>
    </row>
    <row r="71" spans="1:18">
      <c r="A71" s="40" t="s">
        <v>211</v>
      </c>
      <c r="B71" s="11" t="s">
        <v>212</v>
      </c>
      <c r="C71" s="91">
        <v>123</v>
      </c>
      <c r="D71" s="88">
        <v>-3.90625E-2</v>
      </c>
      <c r="E71" s="89">
        <v>299496467.05556184</v>
      </c>
      <c r="F71" s="35"/>
      <c r="G71" s="60" t="str">
        <f ca="1">IFERROR(OFFSET(INDIRECT($H$3 &amp; "!A179"), 15, 0), "")</f>
        <v>에이다</v>
      </c>
      <c r="H71" s="45">
        <f t="shared" ca="1" si="25"/>
        <v>2810</v>
      </c>
      <c r="I71" s="76">
        <f t="shared" ca="1" si="26"/>
        <v>0.1353535354</v>
      </c>
      <c r="J71" s="95">
        <f t="shared" ca="1" si="22"/>
        <v>533694308.04997879</v>
      </c>
      <c r="K71" s="56" t="str">
        <f ca="1">IFERROR(OFFSET(INDIRECT($H$3 &amp; "!A125"), 15, 0), "")</f>
        <v>쿼크체인</v>
      </c>
      <c r="L71" s="39">
        <f t="shared" ca="1" si="18"/>
        <v>31.2</v>
      </c>
      <c r="M71" s="73">
        <f t="shared" ca="1" si="19"/>
        <v>-3.7037037000000002E-2</v>
      </c>
      <c r="N71" s="95">
        <f t="shared" ca="1" si="23"/>
        <v>66073535.463473022</v>
      </c>
      <c r="O71" s="56" t="str">
        <f ca="1">IFERROR(OFFSET(INDIRECT($H$3 &amp; "!A152"), 15, 0), "")</f>
        <v>메타디움</v>
      </c>
      <c r="P71" s="39">
        <f t="shared" ca="1" si="20"/>
        <v>163</v>
      </c>
      <c r="Q71" s="73">
        <f t="shared" ca="1" si="21"/>
        <v>-4.1176470600000001E-2</v>
      </c>
      <c r="R71" s="95">
        <f t="shared" ca="1" si="24"/>
        <v>67675728.055512086</v>
      </c>
    </row>
    <row r="72" spans="1:18">
      <c r="A72" s="40" t="s">
        <v>147</v>
      </c>
      <c r="B72" s="11" t="s">
        <v>148</v>
      </c>
      <c r="C72" s="91">
        <v>170</v>
      </c>
      <c r="D72" s="88">
        <v>-3.9548022600000003E-2</v>
      </c>
      <c r="E72" s="89">
        <v>40321764.471313007</v>
      </c>
      <c r="F72" s="35"/>
      <c r="G72" s="56" t="str">
        <f ca="1">IFERROR(OFFSET(INDIRECT($H$3 &amp; "!A179"), 16, 0), "")</f>
        <v>스트라이크</v>
      </c>
      <c r="H72" s="39">
        <f t="shared" ca="1" si="25"/>
        <v>65760</v>
      </c>
      <c r="I72" s="73">
        <f t="shared" ca="1" si="26"/>
        <v>-4.3212570899999997E-2</v>
      </c>
      <c r="J72" s="82">
        <f t="shared" ca="1" si="22"/>
        <v>1079192.52318459</v>
      </c>
      <c r="K72" s="56" t="str">
        <f ca="1">IFERROR(OFFSET(INDIRECT($H$3 &amp; "!A125"), 16, 0), "")</f>
        <v>람다</v>
      </c>
      <c r="L72" s="39">
        <f t="shared" ca="1" si="18"/>
        <v>79</v>
      </c>
      <c r="M72" s="73">
        <f t="shared" ca="1" si="19"/>
        <v>-4.2424242399999999E-2</v>
      </c>
      <c r="N72" s="82">
        <f t="shared" ca="1" si="23"/>
        <v>121653863.38713455</v>
      </c>
      <c r="O72" s="56" t="str">
        <f ca="1">IFERROR(OFFSET(INDIRECT($H$3 &amp; "!A152"), 16, 0), "")</f>
        <v>아인스타이늄</v>
      </c>
      <c r="P72" s="39">
        <f t="shared" ca="1" si="20"/>
        <v>438</v>
      </c>
      <c r="Q72" s="73">
        <f t="shared" ca="1" si="21"/>
        <v>-4.5751633999999999E-2</v>
      </c>
      <c r="R72" s="82">
        <f t="shared" ca="1" si="24"/>
        <v>15012336.66026663</v>
      </c>
    </row>
    <row r="73" spans="1:18">
      <c r="A73" s="40" t="s">
        <v>213</v>
      </c>
      <c r="B73" s="11" t="s">
        <v>214</v>
      </c>
      <c r="C73" s="91">
        <v>19.100000000000001</v>
      </c>
      <c r="D73" s="88">
        <v>-4.0201004999999998E-2</v>
      </c>
      <c r="E73" s="89">
        <v>839892003.44279563</v>
      </c>
      <c r="F73" s="35"/>
      <c r="G73" s="56" t="str">
        <f ca="1">IFERROR(OFFSET(INDIRECT($H$3 &amp; "!A179"), 17, 0), "")</f>
        <v>마로</v>
      </c>
      <c r="H73" s="39">
        <f t="shared" ca="1" si="25"/>
        <v>436</v>
      </c>
      <c r="I73" s="73">
        <f t="shared" ca="1" si="26"/>
        <v>-6.0344827599999998E-2</v>
      </c>
      <c r="J73" s="82">
        <f t="shared" ca="1" si="22"/>
        <v>89436106.252692655</v>
      </c>
      <c r="K73" s="56" t="str">
        <f ca="1">IFERROR(OFFSET(INDIRECT($H$3 &amp; "!A125"), 17, 0), "")</f>
        <v>엔도르</v>
      </c>
      <c r="L73" s="39">
        <f t="shared" ca="1" si="18"/>
        <v>70.7</v>
      </c>
      <c r="M73" s="73">
        <f t="shared" ca="1" si="19"/>
        <v>-2.7510316399999998E-2</v>
      </c>
      <c r="N73" s="82">
        <f t="shared" ca="1" si="23"/>
        <v>1160036204.7035651</v>
      </c>
      <c r="O73" s="56" t="str">
        <f ca="1">IFERROR(OFFSET(INDIRECT($H$3 &amp; "!A152"), 17, 0), "")</f>
        <v>헤데라해시그래프</v>
      </c>
      <c r="P73" s="39">
        <f t="shared" ca="1" si="20"/>
        <v>389</v>
      </c>
      <c r="Q73" s="73">
        <f t="shared" ca="1" si="21"/>
        <v>-6.2650602400000005E-2</v>
      </c>
      <c r="R73" s="82">
        <f t="shared" ca="1" si="24"/>
        <v>130006559.95466971</v>
      </c>
    </row>
    <row r="74" spans="1:18">
      <c r="A74" s="40" t="s">
        <v>105</v>
      </c>
      <c r="B74" s="11" t="s">
        <v>106</v>
      </c>
      <c r="C74" s="91">
        <v>2020</v>
      </c>
      <c r="D74" s="88">
        <v>-4.0380047500000002E-2</v>
      </c>
      <c r="E74" s="89">
        <v>2248902.1507311501</v>
      </c>
      <c r="F74" s="35"/>
      <c r="G74" s="56" t="str">
        <f ca="1">IFERROR(OFFSET(INDIRECT($H$3 &amp; "!A179"), 18, 0), "")</f>
        <v>트웰브쉽스</v>
      </c>
      <c r="H74" s="39">
        <f t="shared" ca="1" si="25"/>
        <v>22.5</v>
      </c>
      <c r="I74" s="73">
        <f t="shared" ca="1" si="26"/>
        <v>-6.25E-2</v>
      </c>
      <c r="J74" s="82">
        <f t="shared" ca="1" si="22"/>
        <v>412760527.1570465</v>
      </c>
      <c r="K74" s="56" t="str">
        <f ca="1">IFERROR(OFFSET(INDIRECT($H$3 &amp; "!A125"), 18, 0), "")</f>
        <v>트웰브쉽스</v>
      </c>
      <c r="L74" s="39">
        <f t="shared" ca="1" si="18"/>
        <v>22.5</v>
      </c>
      <c r="M74" s="73">
        <f t="shared" ca="1" si="19"/>
        <v>-6.25E-2</v>
      </c>
      <c r="N74" s="82">
        <f t="shared" ca="1" si="23"/>
        <v>412760527.1570465</v>
      </c>
      <c r="O74" s="56" t="str">
        <f ca="1">IFERROR(OFFSET(INDIRECT($H$3 &amp; "!A152"), 18, 0), "")</f>
        <v>마로</v>
      </c>
      <c r="P74" s="39">
        <f t="shared" ca="1" si="20"/>
        <v>436</v>
      </c>
      <c r="Q74" s="73">
        <f t="shared" ca="1" si="21"/>
        <v>-6.0344827599999998E-2</v>
      </c>
      <c r="R74" s="82">
        <f t="shared" ca="1" si="24"/>
        <v>89436106.252692655</v>
      </c>
    </row>
    <row r="75" spans="1:18" ht="17.25" thickBot="1">
      <c r="A75" s="40" t="s">
        <v>135</v>
      </c>
      <c r="B75" s="11" t="s">
        <v>136</v>
      </c>
      <c r="C75" s="91">
        <v>235</v>
      </c>
      <c r="D75" s="88">
        <v>-4.08163265E-2</v>
      </c>
      <c r="E75" s="89">
        <v>15031021.840432771</v>
      </c>
      <c r="F75" s="35"/>
      <c r="G75" s="57" t="str">
        <f ca="1">IFERROR(OFFSET(INDIRECT($H$3 &amp; "!A179"), 19, 0), "")</f>
        <v>파워렛저</v>
      </c>
      <c r="H75" s="37">
        <f t="shared" ca="1" si="25"/>
        <v>507</v>
      </c>
      <c r="I75" s="75">
        <f t="shared" ca="1" si="26"/>
        <v>-7.1428571400000002E-2</v>
      </c>
      <c r="J75" s="83">
        <f t="shared" ca="1" si="22"/>
        <v>42807339.688796252</v>
      </c>
      <c r="K75" s="57">
        <f ca="1">IFERROR(OFFSET(INDIRECT($H$3 &amp; "!A125"), 19, 0), "")</f>
        <v>0</v>
      </c>
      <c r="L75" s="37" t="str">
        <f t="shared" ca="1" si="18"/>
        <v/>
      </c>
      <c r="M75" s="75" t="str">
        <f t="shared" ca="1" si="19"/>
        <v/>
      </c>
      <c r="N75" s="83" t="str">
        <f t="shared" ca="1" si="23"/>
        <v/>
      </c>
      <c r="O75" s="57" t="str">
        <f ca="1">IFERROR(OFFSET(INDIRECT($H$3 &amp; "!A152"), 19, 0), "")</f>
        <v>파워렛저</v>
      </c>
      <c r="P75" s="37">
        <f t="shared" ca="1" si="20"/>
        <v>507</v>
      </c>
      <c r="Q75" s="75">
        <f t="shared" ca="1" si="21"/>
        <v>-7.1428571400000002E-2</v>
      </c>
      <c r="R75" s="83">
        <f t="shared" ca="1" si="24"/>
        <v>42807339.688796252</v>
      </c>
    </row>
    <row r="76" spans="1:18">
      <c r="A76" s="40" t="s">
        <v>201</v>
      </c>
      <c r="B76" s="11" t="s">
        <v>202</v>
      </c>
      <c r="C76" s="91">
        <v>163</v>
      </c>
      <c r="D76" s="88">
        <v>-4.1176470600000001E-2</v>
      </c>
      <c r="E76" s="89">
        <v>67675728.055512086</v>
      </c>
      <c r="F76" s="35"/>
      <c r="G76" s="35"/>
      <c r="H76" s="35"/>
      <c r="I76" s="35"/>
    </row>
    <row r="77" spans="1:18">
      <c r="A77" s="40" t="s">
        <v>107</v>
      </c>
      <c r="B77" s="11" t="s">
        <v>108</v>
      </c>
      <c r="C77" s="91">
        <v>53680</v>
      </c>
      <c r="D77" s="88">
        <v>-4.1428571400000003E-2</v>
      </c>
      <c r="E77" s="89">
        <v>722576.92023726995</v>
      </c>
      <c r="F77" s="35"/>
      <c r="G77" s="35"/>
      <c r="H77" s="35"/>
      <c r="I77" s="35"/>
    </row>
    <row r="78" spans="1:18">
      <c r="A78" s="40" t="s">
        <v>95</v>
      </c>
      <c r="B78" s="11" t="s">
        <v>96</v>
      </c>
      <c r="C78" s="91">
        <v>4820000</v>
      </c>
      <c r="D78" s="88">
        <v>-4.1939972200000002E-2</v>
      </c>
      <c r="E78" s="89">
        <v>136036.62867546</v>
      </c>
      <c r="F78" s="35"/>
      <c r="G78" s="35"/>
      <c r="H78" s="35"/>
      <c r="I78" s="35"/>
    </row>
    <row r="79" spans="1:18">
      <c r="A79" s="40" t="s">
        <v>191</v>
      </c>
      <c r="B79" s="11" t="s">
        <v>192</v>
      </c>
      <c r="C79" s="91">
        <v>996</v>
      </c>
      <c r="D79" s="88">
        <v>-4.2307692299999998E-2</v>
      </c>
      <c r="E79" s="89">
        <v>3973332.6992529999</v>
      </c>
      <c r="F79" s="35"/>
      <c r="G79" s="35"/>
      <c r="H79" s="35"/>
      <c r="I79" s="35"/>
    </row>
    <row r="80" spans="1:18">
      <c r="A80" s="40" t="s">
        <v>267</v>
      </c>
      <c r="B80" s="11" t="s">
        <v>268</v>
      </c>
      <c r="C80" s="91">
        <v>79</v>
      </c>
      <c r="D80" s="88">
        <v>-4.2424242399999999E-2</v>
      </c>
      <c r="E80" s="89">
        <v>121653863.38713455</v>
      </c>
      <c r="F80" s="35"/>
      <c r="G80" s="35"/>
      <c r="H80" s="35"/>
      <c r="I80" s="35"/>
    </row>
    <row r="81" spans="1:9">
      <c r="A81" s="40" t="s">
        <v>75</v>
      </c>
      <c r="B81" s="11" t="s">
        <v>76</v>
      </c>
      <c r="C81" s="91">
        <v>55020</v>
      </c>
      <c r="D81" s="88">
        <v>-4.2963993700000001E-2</v>
      </c>
      <c r="E81" s="89">
        <v>1424959.49066266</v>
      </c>
      <c r="F81" s="35"/>
      <c r="G81" s="35"/>
      <c r="H81" s="35"/>
      <c r="I81" s="35"/>
    </row>
    <row r="82" spans="1:9">
      <c r="A82" s="40" t="s">
        <v>189</v>
      </c>
      <c r="B82" s="11" t="s">
        <v>190</v>
      </c>
      <c r="C82" s="91">
        <v>65760</v>
      </c>
      <c r="D82" s="88">
        <v>-4.3212570899999997E-2</v>
      </c>
      <c r="E82" s="89">
        <v>1079192.52318459</v>
      </c>
      <c r="F82" s="35"/>
      <c r="G82" s="35"/>
      <c r="H82" s="35"/>
      <c r="I82" s="35"/>
    </row>
    <row r="83" spans="1:9">
      <c r="A83" s="40" t="s">
        <v>223</v>
      </c>
      <c r="B83" s="11" t="s">
        <v>224</v>
      </c>
      <c r="C83" s="91">
        <v>1875</v>
      </c>
      <c r="D83" s="88">
        <v>-4.3367346899999999E-2</v>
      </c>
      <c r="E83" s="89">
        <v>13973313.894420231</v>
      </c>
      <c r="F83" s="35"/>
      <c r="G83" s="35"/>
      <c r="H83" s="35"/>
      <c r="I83" s="35"/>
    </row>
    <row r="84" spans="1:9">
      <c r="A84" s="40" t="s">
        <v>197</v>
      </c>
      <c r="B84" s="11" t="s">
        <v>198</v>
      </c>
      <c r="C84" s="91">
        <v>23.4</v>
      </c>
      <c r="D84" s="88">
        <v>-4.4897959199999997E-2</v>
      </c>
      <c r="E84" s="89">
        <v>473599023.278274</v>
      </c>
      <c r="F84" s="35"/>
      <c r="G84" s="35"/>
      <c r="H84" s="35"/>
      <c r="I84" s="35"/>
    </row>
    <row r="85" spans="1:9">
      <c r="A85" s="40" t="s">
        <v>66</v>
      </c>
      <c r="B85" s="11" t="s">
        <v>67</v>
      </c>
      <c r="C85" s="91">
        <v>7020</v>
      </c>
      <c r="D85" s="88">
        <v>-4.4897959199999997E-2</v>
      </c>
      <c r="E85" s="89">
        <v>1576088.8533151499</v>
      </c>
      <c r="F85" s="35"/>
      <c r="G85" s="35"/>
      <c r="H85" s="35"/>
      <c r="I85" s="35"/>
    </row>
    <row r="86" spans="1:9">
      <c r="A86" s="40" t="s">
        <v>177</v>
      </c>
      <c r="B86" s="11" t="s">
        <v>178</v>
      </c>
      <c r="C86" s="91">
        <v>45310</v>
      </c>
      <c r="D86" s="88">
        <v>-4.4898819600000001E-2</v>
      </c>
      <c r="E86" s="89">
        <v>137927.94412547001</v>
      </c>
      <c r="F86" s="35"/>
      <c r="G86" s="35"/>
      <c r="H86" s="35"/>
      <c r="I86" s="35"/>
    </row>
    <row r="87" spans="1:9">
      <c r="A87" s="40" t="s">
        <v>263</v>
      </c>
      <c r="B87" s="11" t="s">
        <v>264</v>
      </c>
      <c r="C87" s="91">
        <v>147</v>
      </c>
      <c r="D87" s="88">
        <v>-4.5454545499999999E-2</v>
      </c>
      <c r="E87" s="89">
        <v>73060247.296256959</v>
      </c>
      <c r="F87" s="35"/>
      <c r="G87" s="35"/>
      <c r="H87" s="35"/>
      <c r="I87" s="35"/>
    </row>
    <row r="88" spans="1:9">
      <c r="A88" s="40" t="s">
        <v>265</v>
      </c>
      <c r="B88" s="11" t="s">
        <v>266</v>
      </c>
      <c r="C88" s="91">
        <v>88</v>
      </c>
      <c r="D88" s="88">
        <v>-4.55531453E-2</v>
      </c>
      <c r="E88" s="89">
        <v>65032456.310953617</v>
      </c>
      <c r="F88" s="35"/>
      <c r="G88" s="35"/>
      <c r="H88" s="35"/>
      <c r="I88" s="35"/>
    </row>
    <row r="89" spans="1:9">
      <c r="A89" s="40" t="s">
        <v>251</v>
      </c>
      <c r="B89" s="11" t="s">
        <v>252</v>
      </c>
      <c r="C89" s="91">
        <v>438</v>
      </c>
      <c r="D89" s="88">
        <v>-4.5751633999999999E-2</v>
      </c>
      <c r="E89" s="89">
        <v>15012336.66026663</v>
      </c>
      <c r="F89" s="35"/>
      <c r="G89" s="35"/>
      <c r="H89" s="35"/>
      <c r="I89" s="35"/>
    </row>
    <row r="90" spans="1:9">
      <c r="A90" s="40" t="s">
        <v>64</v>
      </c>
      <c r="B90" s="11" t="s">
        <v>65</v>
      </c>
      <c r="C90" s="91">
        <v>61.6</v>
      </c>
      <c r="D90" s="88">
        <v>-4.6439628500000003E-2</v>
      </c>
      <c r="E90" s="89">
        <v>92270667.10971342</v>
      </c>
      <c r="F90" s="35"/>
      <c r="G90" s="35"/>
      <c r="H90" s="35"/>
      <c r="I90" s="35"/>
    </row>
    <row r="91" spans="1:9">
      <c r="A91" s="40" t="s">
        <v>139</v>
      </c>
      <c r="B91" s="11" t="s">
        <v>140</v>
      </c>
      <c r="C91" s="91">
        <v>3655</v>
      </c>
      <c r="D91" s="88">
        <v>-4.6936114700000003E-2</v>
      </c>
      <c r="E91" s="89">
        <v>813212.35444482998</v>
      </c>
      <c r="F91" s="35"/>
      <c r="G91" s="35"/>
      <c r="H91" s="35"/>
      <c r="I91" s="35"/>
    </row>
    <row r="92" spans="1:9">
      <c r="A92" s="40" t="s">
        <v>243</v>
      </c>
      <c r="B92" s="11" t="s">
        <v>244</v>
      </c>
      <c r="C92" s="91">
        <v>3030</v>
      </c>
      <c r="D92" s="88">
        <v>-4.7169811300000003E-2</v>
      </c>
      <c r="E92" s="89">
        <v>9754142.7407525107</v>
      </c>
      <c r="F92" s="35"/>
      <c r="G92" s="35"/>
      <c r="H92" s="35"/>
      <c r="I92" s="35"/>
    </row>
    <row r="93" spans="1:9">
      <c r="A93" s="40" t="s">
        <v>123</v>
      </c>
      <c r="B93" s="11" t="s">
        <v>124</v>
      </c>
      <c r="C93" s="91">
        <v>5740</v>
      </c>
      <c r="D93" s="88">
        <v>-4.8092869000000003E-2</v>
      </c>
      <c r="E93" s="89">
        <v>595803.24291221995</v>
      </c>
      <c r="F93" s="35"/>
      <c r="G93" s="35"/>
      <c r="H93" s="35"/>
      <c r="I93" s="35"/>
    </row>
    <row r="94" spans="1:9">
      <c r="A94" s="40" t="s">
        <v>221</v>
      </c>
      <c r="B94" s="11" t="s">
        <v>222</v>
      </c>
      <c r="C94" s="91">
        <v>15.7</v>
      </c>
      <c r="D94" s="88">
        <v>-4.8484848499999997E-2</v>
      </c>
      <c r="E94" s="89">
        <v>234789579.15731609</v>
      </c>
      <c r="F94" s="35"/>
      <c r="G94" s="35"/>
      <c r="H94" s="35"/>
      <c r="I94" s="35"/>
    </row>
    <row r="95" spans="1:9">
      <c r="A95" s="40" t="s">
        <v>271</v>
      </c>
      <c r="B95" s="11" t="s">
        <v>272</v>
      </c>
      <c r="C95" s="91">
        <v>2150</v>
      </c>
      <c r="D95" s="88">
        <v>-4.8672566399999999E-2</v>
      </c>
      <c r="E95" s="89">
        <v>1574247.2868743101</v>
      </c>
      <c r="F95" s="35"/>
      <c r="G95" s="35"/>
      <c r="H95" s="35"/>
      <c r="I95" s="35"/>
    </row>
    <row r="96" spans="1:9">
      <c r="A96" s="40" t="s">
        <v>193</v>
      </c>
      <c r="B96" s="11" t="s">
        <v>194</v>
      </c>
      <c r="C96" s="91">
        <v>11750</v>
      </c>
      <c r="D96" s="88">
        <v>-4.9352750799999998E-2</v>
      </c>
      <c r="E96" s="89">
        <v>903309.59247339005</v>
      </c>
      <c r="F96" s="35"/>
      <c r="G96" s="35"/>
      <c r="H96" s="35"/>
      <c r="I96" s="35"/>
    </row>
    <row r="97" spans="1:9">
      <c r="A97" s="40" t="s">
        <v>227</v>
      </c>
      <c r="B97" s="11" t="s">
        <v>228</v>
      </c>
      <c r="C97" s="91">
        <v>15.4</v>
      </c>
      <c r="D97" s="88">
        <v>-4.9382716E-2</v>
      </c>
      <c r="E97" s="89">
        <v>641040889.23240316</v>
      </c>
      <c r="F97" s="35"/>
      <c r="G97" s="35"/>
      <c r="H97" s="35"/>
      <c r="I97" s="35"/>
    </row>
    <row r="98" spans="1:9">
      <c r="A98" s="40" t="s">
        <v>247</v>
      </c>
      <c r="B98" s="11" t="s">
        <v>248</v>
      </c>
      <c r="C98" s="91">
        <v>3070</v>
      </c>
      <c r="D98" s="88">
        <v>-5.1004636800000003E-2</v>
      </c>
      <c r="E98" s="89">
        <v>2106797.94855745</v>
      </c>
      <c r="F98" s="35"/>
      <c r="G98" s="35"/>
      <c r="H98" s="35"/>
      <c r="I98" s="35"/>
    </row>
    <row r="99" spans="1:9">
      <c r="A99" s="40" t="s">
        <v>279</v>
      </c>
      <c r="B99" s="11" t="s">
        <v>280</v>
      </c>
      <c r="C99" s="91">
        <v>1480</v>
      </c>
      <c r="D99" s="88">
        <v>-5.1282051299999999E-2</v>
      </c>
      <c r="E99" s="89">
        <v>4349066.3514020396</v>
      </c>
      <c r="F99" s="35"/>
      <c r="G99" s="35"/>
      <c r="H99" s="35"/>
      <c r="I99" s="35"/>
    </row>
    <row r="100" spans="1:9">
      <c r="A100" s="40" t="s">
        <v>165</v>
      </c>
      <c r="B100" s="11" t="s">
        <v>166</v>
      </c>
      <c r="C100" s="91">
        <v>2100</v>
      </c>
      <c r="D100" s="88">
        <v>-5.1918735899999999E-2</v>
      </c>
      <c r="E100" s="89">
        <v>1639598.04120825</v>
      </c>
      <c r="F100" s="35"/>
      <c r="G100" s="35"/>
      <c r="H100" s="35"/>
      <c r="I100" s="35"/>
    </row>
    <row r="101" spans="1:9">
      <c r="A101" s="40" t="s">
        <v>233</v>
      </c>
      <c r="B101" s="11" t="s">
        <v>234</v>
      </c>
      <c r="C101" s="91">
        <v>1095</v>
      </c>
      <c r="D101" s="88">
        <v>-5.19480519E-2</v>
      </c>
      <c r="E101" s="89">
        <v>2887194.97171616</v>
      </c>
      <c r="F101" s="35"/>
      <c r="G101" s="35"/>
      <c r="H101" s="35"/>
      <c r="I101" s="35"/>
    </row>
    <row r="102" spans="1:9">
      <c r="A102" s="40" t="s">
        <v>151</v>
      </c>
      <c r="B102" s="11" t="s">
        <v>152</v>
      </c>
      <c r="C102" s="91">
        <v>37.9</v>
      </c>
      <c r="D102" s="88">
        <v>-5.2499999999999998E-2</v>
      </c>
      <c r="E102" s="89">
        <v>416673587.46833891</v>
      </c>
      <c r="F102" s="35"/>
      <c r="G102" s="35"/>
      <c r="H102" s="35"/>
      <c r="I102" s="35"/>
    </row>
    <row r="103" spans="1:9">
      <c r="A103" s="40" t="s">
        <v>217</v>
      </c>
      <c r="B103" s="11" t="s">
        <v>218</v>
      </c>
      <c r="C103" s="91">
        <v>23</v>
      </c>
      <c r="D103" s="88">
        <v>-5.3497942399999998E-2</v>
      </c>
      <c r="E103" s="89">
        <v>302088517.90899241</v>
      </c>
      <c r="F103" s="35"/>
      <c r="G103" s="35"/>
      <c r="H103" s="35"/>
      <c r="I103" s="35"/>
    </row>
    <row r="104" spans="1:9">
      <c r="A104" s="40" t="s">
        <v>173</v>
      </c>
      <c r="B104" s="11" t="s">
        <v>174</v>
      </c>
      <c r="C104" s="91">
        <v>243</v>
      </c>
      <c r="D104" s="88">
        <v>-5.4474708199999999E-2</v>
      </c>
      <c r="E104" s="89">
        <v>25224391.41620988</v>
      </c>
      <c r="F104" s="35"/>
      <c r="G104" s="35"/>
      <c r="H104" s="35"/>
      <c r="I104" s="35"/>
    </row>
    <row r="105" spans="1:9">
      <c r="A105" s="40" t="s">
        <v>261</v>
      </c>
      <c r="B105" s="11" t="s">
        <v>262</v>
      </c>
      <c r="C105" s="91">
        <v>1105</v>
      </c>
      <c r="D105" s="88">
        <v>-5.5555555600000001E-2</v>
      </c>
      <c r="E105" s="89">
        <v>14502538.898750789</v>
      </c>
      <c r="F105" s="35"/>
      <c r="G105" s="35"/>
      <c r="H105" s="35"/>
      <c r="I105" s="35"/>
    </row>
    <row r="106" spans="1:9">
      <c r="A106" s="40" t="s">
        <v>81</v>
      </c>
      <c r="B106" s="11" t="s">
        <v>82</v>
      </c>
      <c r="C106" s="91">
        <v>1360</v>
      </c>
      <c r="D106" s="88">
        <v>-5.5555555600000001E-2</v>
      </c>
      <c r="E106" s="89">
        <v>1418424.4373436901</v>
      </c>
      <c r="F106" s="35"/>
      <c r="G106" s="35"/>
      <c r="H106" s="35"/>
      <c r="I106" s="35"/>
    </row>
    <row r="107" spans="1:9">
      <c r="A107" s="40" t="s">
        <v>145</v>
      </c>
      <c r="B107" s="11" t="s">
        <v>146</v>
      </c>
      <c r="C107" s="91">
        <v>15790</v>
      </c>
      <c r="D107" s="88">
        <v>-5.7875894999999997E-2</v>
      </c>
      <c r="E107" s="89">
        <v>602078.46405459999</v>
      </c>
      <c r="F107" s="35"/>
      <c r="G107" s="35"/>
      <c r="H107" s="35"/>
      <c r="I107" s="35"/>
    </row>
    <row r="108" spans="1:9">
      <c r="A108" s="40" t="s">
        <v>241</v>
      </c>
      <c r="B108" s="11" t="s">
        <v>242</v>
      </c>
      <c r="C108" s="91">
        <v>8630</v>
      </c>
      <c r="D108" s="88">
        <v>-5.9400544999999999E-2</v>
      </c>
      <c r="E108" s="89">
        <v>4254408.7553563202</v>
      </c>
      <c r="F108" s="35"/>
      <c r="G108" s="35"/>
      <c r="H108" s="35"/>
      <c r="I108" s="35"/>
    </row>
    <row r="109" spans="1:9">
      <c r="A109" s="40" t="s">
        <v>207</v>
      </c>
      <c r="B109" s="11" t="s">
        <v>208</v>
      </c>
      <c r="C109" s="91">
        <v>436</v>
      </c>
      <c r="D109" s="88">
        <v>-6.0344827599999998E-2</v>
      </c>
      <c r="E109" s="41">
        <v>89436106.252692655</v>
      </c>
    </row>
    <row r="110" spans="1:9">
      <c r="A110" s="40" t="s">
        <v>275</v>
      </c>
      <c r="B110" s="11" t="s">
        <v>276</v>
      </c>
      <c r="C110" s="91">
        <v>4280</v>
      </c>
      <c r="D110" s="88">
        <v>-6.1403508799999999E-2</v>
      </c>
      <c r="E110" s="41">
        <v>3576002.7683037701</v>
      </c>
    </row>
    <row r="111" spans="1:9">
      <c r="A111" s="40" t="s">
        <v>171</v>
      </c>
      <c r="B111" s="11" t="s">
        <v>172</v>
      </c>
      <c r="C111" s="91">
        <v>22.5</v>
      </c>
      <c r="D111" s="88">
        <v>-6.25E-2</v>
      </c>
      <c r="E111" s="41">
        <v>412760527.1570465</v>
      </c>
    </row>
    <row r="112" spans="1:9">
      <c r="A112" s="40" t="s">
        <v>203</v>
      </c>
      <c r="B112" s="11" t="s">
        <v>204</v>
      </c>
      <c r="C112" s="91">
        <v>6375</v>
      </c>
      <c r="D112" s="88">
        <v>-6.25E-2</v>
      </c>
      <c r="E112" s="41">
        <v>5567396.4726426704</v>
      </c>
    </row>
    <row r="113" spans="1:5">
      <c r="A113" s="40" t="s">
        <v>53</v>
      </c>
      <c r="B113" s="11" t="s">
        <v>54</v>
      </c>
      <c r="C113" s="91">
        <v>389</v>
      </c>
      <c r="D113" s="88">
        <v>-6.2650602400000005E-2</v>
      </c>
      <c r="E113" s="41">
        <v>130006559.95466971</v>
      </c>
    </row>
    <row r="114" spans="1:5">
      <c r="A114" s="40" t="s">
        <v>169</v>
      </c>
      <c r="B114" s="11" t="s">
        <v>170</v>
      </c>
      <c r="C114" s="91">
        <v>470</v>
      </c>
      <c r="D114" s="88">
        <v>-6.7460317500000005E-2</v>
      </c>
      <c r="E114" s="41">
        <v>10427467.45043123</v>
      </c>
    </row>
    <row r="115" spans="1:5">
      <c r="A115" s="40" t="s">
        <v>239</v>
      </c>
      <c r="B115" s="11" t="s">
        <v>240</v>
      </c>
      <c r="C115" s="91">
        <v>157</v>
      </c>
      <c r="D115" s="88">
        <v>-7.1005917200000004E-2</v>
      </c>
      <c r="E115" s="41">
        <v>37981617.26199533</v>
      </c>
    </row>
    <row r="116" spans="1:5">
      <c r="A116" s="40" t="s">
        <v>181</v>
      </c>
      <c r="B116" s="11" t="s">
        <v>182</v>
      </c>
      <c r="C116" s="91">
        <v>507</v>
      </c>
      <c r="D116" s="88">
        <v>-7.1428571400000002E-2</v>
      </c>
      <c r="E116" s="41">
        <v>42807339.688796252</v>
      </c>
    </row>
    <row r="117" spans="1:5">
      <c r="A117" s="40" t="s">
        <v>295</v>
      </c>
      <c r="B117" s="11" t="s">
        <v>296</v>
      </c>
      <c r="C117" s="91">
        <v>643</v>
      </c>
      <c r="D117" s="88">
        <v>-7.2150072199999998E-2</v>
      </c>
      <c r="E117" s="41">
        <v>2943580362.16539</v>
      </c>
    </row>
    <row r="118" spans="1:5">
      <c r="A118" s="40" t="s">
        <v>185</v>
      </c>
      <c r="B118" s="11" t="s">
        <v>186</v>
      </c>
      <c r="C118" s="91">
        <v>22.4</v>
      </c>
      <c r="D118" s="88">
        <v>-7.4380165299999995E-2</v>
      </c>
      <c r="E118" s="41">
        <v>669468225.55773163</v>
      </c>
    </row>
    <row r="119" spans="1:5">
      <c r="A119" s="40"/>
      <c r="B119" s="11"/>
      <c r="C119" s="91"/>
      <c r="D119" s="88"/>
      <c r="E119" s="41"/>
    </row>
    <row r="120" spans="1:5">
      <c r="A120" s="40"/>
      <c r="B120" s="11"/>
      <c r="C120" s="91"/>
      <c r="D120" s="88"/>
      <c r="E120" s="41"/>
    </row>
    <row r="121" spans="1:5">
      <c r="A121" s="40"/>
      <c r="B121" s="11"/>
      <c r="C121" s="91"/>
      <c r="D121" s="88"/>
      <c r="E121" s="41"/>
    </row>
    <row r="122" spans="1:5">
      <c r="A122" s="40"/>
      <c r="B122" s="11"/>
      <c r="C122" s="91"/>
      <c r="D122" s="88"/>
      <c r="E122" s="41"/>
    </row>
    <row r="123" spans="1:5">
      <c r="A123" s="40"/>
      <c r="B123" s="11"/>
      <c r="C123" s="91"/>
      <c r="D123" s="88"/>
      <c r="E123" s="41"/>
    </row>
    <row r="124" spans="1:5">
      <c r="A124" s="40"/>
      <c r="B124" s="11"/>
      <c r="C124" s="91"/>
      <c r="D124" s="88"/>
      <c r="E124" s="41"/>
    </row>
    <row r="125" spans="1:5">
      <c r="A125" s="40"/>
      <c r="B125" s="11"/>
      <c r="C125" s="91"/>
      <c r="D125" s="88"/>
      <c r="E125" s="41"/>
    </row>
    <row r="126" spans="1:5">
      <c r="A126" s="40"/>
      <c r="B126" s="11"/>
      <c r="C126" s="91"/>
      <c r="D126" s="88"/>
      <c r="E126" s="41"/>
    </row>
    <row r="127" spans="1:5">
      <c r="A127" s="40"/>
      <c r="B127" s="11"/>
      <c r="C127" s="91"/>
      <c r="D127" s="88"/>
      <c r="E127" s="41"/>
    </row>
    <row r="128" spans="1:5">
      <c r="A128" s="40"/>
      <c r="B128" s="11"/>
      <c r="C128" s="91"/>
      <c r="D128" s="88"/>
      <c r="E128" s="41"/>
    </row>
    <row r="129" spans="1:5">
      <c r="A129" s="40"/>
      <c r="B129" s="11"/>
      <c r="C129" s="91"/>
      <c r="D129" s="88"/>
      <c r="E129" s="41"/>
    </row>
    <row r="130" spans="1:5">
      <c r="A130" s="40"/>
      <c r="B130" s="11"/>
      <c r="C130" s="91"/>
      <c r="D130" s="88"/>
      <c r="E130" s="41"/>
    </row>
    <row r="131" spans="1:5">
      <c r="A131" s="40"/>
      <c r="B131" s="11"/>
      <c r="C131" s="91"/>
      <c r="D131" s="88"/>
      <c r="E131" s="41"/>
    </row>
    <row r="132" spans="1:5">
      <c r="A132" s="40"/>
      <c r="B132" s="11"/>
      <c r="C132" s="91"/>
      <c r="D132" s="88"/>
      <c r="E132" s="41"/>
    </row>
    <row r="133" spans="1:5">
      <c r="A133" s="40"/>
      <c r="B133" s="11"/>
      <c r="C133" s="91"/>
      <c r="D133" s="88"/>
      <c r="E133" s="41"/>
    </row>
    <row r="134" spans="1:5">
      <c r="A134" s="40"/>
      <c r="B134" s="11"/>
      <c r="C134" s="91"/>
      <c r="D134" s="88"/>
      <c r="E134" s="41"/>
    </row>
    <row r="135" spans="1:5">
      <c r="A135" s="40"/>
      <c r="B135" s="11"/>
      <c r="C135" s="91"/>
      <c r="D135" s="88"/>
      <c r="E135" s="41"/>
    </row>
    <row r="136" spans="1:5">
      <c r="A136" s="40"/>
      <c r="B136" s="11"/>
      <c r="C136" s="91"/>
      <c r="D136" s="88"/>
      <c r="E136" s="41"/>
    </row>
    <row r="137" spans="1:5">
      <c r="A137" s="40"/>
      <c r="B137" s="11"/>
      <c r="C137" s="91"/>
      <c r="D137" s="88"/>
      <c r="E137" s="41"/>
    </row>
    <row r="138" spans="1:5">
      <c r="A138" s="40"/>
      <c r="B138" s="11"/>
      <c r="C138" s="91"/>
      <c r="D138" s="88"/>
      <c r="E138" s="41"/>
    </row>
    <row r="139" spans="1:5">
      <c r="A139" s="40"/>
      <c r="B139" s="11"/>
      <c r="C139" s="91"/>
      <c r="D139" s="88"/>
      <c r="E139" s="41"/>
    </row>
    <row r="140" spans="1:5">
      <c r="A140" s="40"/>
      <c r="B140" s="11"/>
      <c r="C140" s="91"/>
      <c r="D140" s="88"/>
      <c r="E140" s="41"/>
    </row>
    <row r="141" spans="1:5">
      <c r="A141" s="40"/>
      <c r="B141" s="11"/>
      <c r="C141" s="91"/>
      <c r="D141" s="88"/>
      <c r="E141" s="41"/>
    </row>
    <row r="142" spans="1:5">
      <c r="A142" s="40"/>
      <c r="B142" s="11"/>
      <c r="C142" s="91"/>
      <c r="D142" s="88"/>
      <c r="E142" s="41"/>
    </row>
    <row r="143" spans="1:5">
      <c r="A143" s="40"/>
      <c r="B143" s="11"/>
      <c r="C143" s="91"/>
      <c r="D143" s="88"/>
      <c r="E143" s="41"/>
    </row>
    <row r="144" spans="1:5">
      <c r="A144" s="40"/>
      <c r="B144" s="11"/>
      <c r="C144" s="91"/>
      <c r="D144" s="88"/>
      <c r="E144" s="41"/>
    </row>
    <row r="145" spans="1:5">
      <c r="A145" s="40"/>
      <c r="B145" s="11"/>
      <c r="C145" s="91"/>
      <c r="D145" s="88"/>
      <c r="E145" s="41"/>
    </row>
    <row r="146" spans="1:5">
      <c r="A146" s="40"/>
      <c r="B146" s="11"/>
      <c r="C146" s="91"/>
      <c r="D146" s="88"/>
      <c r="E146" s="41"/>
    </row>
    <row r="147" spans="1:5">
      <c r="A147" s="40"/>
      <c r="B147" s="11"/>
      <c r="C147" s="91"/>
      <c r="D147" s="88"/>
      <c r="E147" s="41"/>
    </row>
    <row r="148" spans="1:5">
      <c r="A148" s="40"/>
      <c r="B148" s="11"/>
      <c r="C148" s="91"/>
      <c r="D148" s="88"/>
      <c r="E148" s="41"/>
    </row>
    <row r="149" spans="1:5">
      <c r="A149" s="40"/>
      <c r="B149" s="11"/>
      <c r="C149" s="91"/>
      <c r="D149" s="88"/>
      <c r="E149" s="41"/>
    </row>
    <row r="150" spans="1:5">
      <c r="A150" s="40"/>
      <c r="B150" s="11"/>
      <c r="C150" s="91"/>
      <c r="D150" s="88"/>
      <c r="E150" s="41"/>
    </row>
    <row r="151" spans="1:5">
      <c r="A151" s="40"/>
      <c r="B151" s="11"/>
      <c r="C151" s="91"/>
      <c r="D151" s="88"/>
      <c r="E151" s="41"/>
    </row>
    <row r="152" spans="1:5">
      <c r="A152" s="40"/>
      <c r="B152" s="11"/>
      <c r="C152" s="91"/>
      <c r="D152" s="88"/>
      <c r="E152" s="41"/>
    </row>
    <row r="153" spans="1:5">
      <c r="A153" s="40"/>
      <c r="B153" s="11"/>
      <c r="C153" s="91"/>
      <c r="D153" s="88"/>
      <c r="E153" s="41"/>
    </row>
    <row r="154" spans="1:5">
      <c r="A154" s="40"/>
      <c r="B154" s="11"/>
      <c r="C154" s="91"/>
      <c r="D154" s="88"/>
      <c r="E154" s="41"/>
    </row>
    <row r="155" spans="1:5">
      <c r="A155" s="40"/>
      <c r="B155" s="11"/>
      <c r="C155" s="91"/>
      <c r="D155" s="88"/>
      <c r="E155" s="41"/>
    </row>
    <row r="156" spans="1:5">
      <c r="A156" s="40"/>
      <c r="B156" s="11"/>
      <c r="C156" s="91"/>
      <c r="D156" s="88"/>
      <c r="E156" s="41"/>
    </row>
    <row r="157" spans="1:5">
      <c r="A157" s="40"/>
      <c r="B157" s="11"/>
      <c r="C157" s="91"/>
      <c r="D157" s="88"/>
      <c r="E157" s="41"/>
    </row>
    <row r="158" spans="1:5">
      <c r="A158" s="40"/>
      <c r="B158" s="11"/>
      <c r="C158" s="91"/>
      <c r="D158" s="88"/>
      <c r="E158" s="41"/>
    </row>
    <row r="159" spans="1:5">
      <c r="A159" s="40"/>
      <c r="B159" s="11"/>
      <c r="C159" s="91"/>
      <c r="D159" s="88"/>
      <c r="E159" s="41"/>
    </row>
    <row r="160" spans="1:5">
      <c r="A160" s="40"/>
      <c r="B160" s="11"/>
      <c r="C160" s="91"/>
      <c r="D160" s="88"/>
      <c r="E160" s="41"/>
    </row>
    <row r="161" spans="1:5">
      <c r="A161" s="40"/>
      <c r="B161" s="11"/>
      <c r="C161" s="91"/>
      <c r="D161" s="88"/>
      <c r="E161" s="41"/>
    </row>
    <row r="162" spans="1:5">
      <c r="A162" s="40"/>
      <c r="B162" s="11"/>
      <c r="C162" s="91"/>
      <c r="D162" s="88"/>
      <c r="E162" s="41"/>
    </row>
    <row r="163" spans="1:5">
      <c r="A163" s="40"/>
      <c r="B163" s="11"/>
      <c r="C163" s="91"/>
      <c r="D163" s="88"/>
      <c r="E163" s="41"/>
    </row>
    <row r="164" spans="1:5">
      <c r="A164" s="40"/>
      <c r="B164" s="11"/>
      <c r="C164" s="91"/>
      <c r="D164" s="88"/>
      <c r="E164" s="41"/>
    </row>
    <row r="165" spans="1:5">
      <c r="A165" s="40"/>
      <c r="B165" s="11"/>
      <c r="C165" s="91"/>
      <c r="D165" s="88"/>
      <c r="E165" s="41"/>
    </row>
    <row r="166" spans="1:5">
      <c r="A166" s="40"/>
      <c r="B166" s="11"/>
      <c r="C166" s="91"/>
      <c r="D166" s="88"/>
      <c r="E166" s="41"/>
    </row>
    <row r="167" spans="1:5">
      <c r="A167" s="40"/>
      <c r="B167" s="11"/>
      <c r="C167" s="91"/>
      <c r="D167" s="88"/>
      <c r="E167" s="41"/>
    </row>
    <row r="168" spans="1:5">
      <c r="A168" s="40"/>
      <c r="B168" s="11"/>
      <c r="C168" s="91"/>
      <c r="D168" s="88"/>
      <c r="E168" s="41"/>
    </row>
    <row r="169" spans="1:5">
      <c r="A169" s="40"/>
      <c r="B169" s="11"/>
      <c r="C169" s="91"/>
      <c r="D169" s="88"/>
      <c r="E169" s="41"/>
    </row>
    <row r="170" spans="1:5">
      <c r="A170" s="40"/>
      <c r="B170" s="11"/>
      <c r="C170" s="91"/>
      <c r="D170" s="88"/>
      <c r="E170" s="41"/>
    </row>
    <row r="171" spans="1:5">
      <c r="A171" s="40"/>
      <c r="B171" s="11"/>
      <c r="C171" s="91"/>
      <c r="D171" s="88"/>
      <c r="E171" s="41"/>
    </row>
    <row r="172" spans="1:5">
      <c r="A172" s="40"/>
      <c r="B172" s="11"/>
      <c r="C172" s="91"/>
      <c r="D172" s="88"/>
      <c r="E172" s="41"/>
    </row>
    <row r="173" spans="1:5">
      <c r="A173" s="40"/>
      <c r="B173" s="11"/>
      <c r="C173" s="91"/>
      <c r="D173" s="88"/>
      <c r="E173" s="41"/>
    </row>
    <row r="174" spans="1:5">
      <c r="A174" s="40"/>
      <c r="B174" s="11"/>
      <c r="C174" s="91"/>
      <c r="D174" s="88"/>
      <c r="E174" s="41"/>
    </row>
    <row r="175" spans="1:5">
      <c r="A175" s="40"/>
      <c r="B175" s="11"/>
      <c r="C175" s="91"/>
      <c r="D175" s="88"/>
      <c r="E175" s="41"/>
    </row>
    <row r="176" spans="1:5">
      <c r="A176" s="40"/>
      <c r="B176" s="11"/>
      <c r="C176" s="91"/>
      <c r="D176" s="88"/>
      <c r="E176" s="41"/>
    </row>
    <row r="177" spans="1:5">
      <c r="A177" s="40"/>
      <c r="B177" s="11"/>
      <c r="C177" s="91"/>
      <c r="D177" s="88"/>
      <c r="E177" s="41"/>
    </row>
    <row r="178" spans="1:5">
      <c r="A178" s="40"/>
      <c r="B178" s="11"/>
      <c r="C178" s="91"/>
      <c r="D178" s="88"/>
      <c r="E178" s="41"/>
    </row>
    <row r="179" spans="1:5">
      <c r="A179" s="40"/>
      <c r="B179" s="11"/>
      <c r="C179" s="91"/>
      <c r="D179" s="88"/>
      <c r="E179" s="41"/>
    </row>
    <row r="180" spans="1:5">
      <c r="A180" s="40"/>
      <c r="B180" s="11"/>
      <c r="C180" s="91"/>
      <c r="D180" s="88"/>
      <c r="E180" s="41"/>
    </row>
    <row r="181" spans="1:5">
      <c r="A181" s="40"/>
      <c r="B181" s="11"/>
      <c r="C181" s="91"/>
      <c r="D181" s="88"/>
      <c r="E181" s="41"/>
    </row>
    <row r="182" spans="1:5">
      <c r="A182" s="40"/>
      <c r="B182" s="11"/>
      <c r="C182" s="91"/>
      <c r="D182" s="88"/>
      <c r="E182" s="41"/>
    </row>
    <row r="183" spans="1:5">
      <c r="A183" s="40"/>
      <c r="B183" s="11"/>
      <c r="C183" s="91"/>
      <c r="D183" s="88"/>
      <c r="E183" s="41"/>
    </row>
    <row r="184" spans="1:5">
      <c r="A184" s="40"/>
      <c r="B184" s="11"/>
      <c r="C184" s="91"/>
      <c r="D184" s="88"/>
      <c r="E184" s="41"/>
    </row>
    <row r="185" spans="1:5">
      <c r="A185" s="40"/>
      <c r="B185" s="11"/>
      <c r="C185" s="91"/>
      <c r="D185" s="88"/>
      <c r="E185" s="41"/>
    </row>
    <row r="186" spans="1:5">
      <c r="A186" s="40"/>
      <c r="B186" s="11"/>
      <c r="C186" s="91"/>
      <c r="D186" s="88"/>
      <c r="E186" s="41"/>
    </row>
    <row r="187" spans="1:5">
      <c r="A187" s="40"/>
      <c r="B187" s="11"/>
      <c r="C187" s="91"/>
      <c r="D187" s="88"/>
      <c r="E187" s="41"/>
    </row>
    <row r="188" spans="1:5">
      <c r="A188" s="40"/>
      <c r="B188" s="11"/>
      <c r="C188" s="91"/>
      <c r="D188" s="88"/>
      <c r="E188" s="41"/>
    </row>
    <row r="189" spans="1:5">
      <c r="A189" s="40"/>
      <c r="B189" s="11"/>
      <c r="C189" s="91"/>
      <c r="D189" s="88"/>
      <c r="E189" s="41"/>
    </row>
    <row r="190" spans="1:5">
      <c r="A190" s="40"/>
      <c r="B190" s="11"/>
      <c r="C190" s="91"/>
      <c r="D190" s="88"/>
      <c r="E190" s="41"/>
    </row>
    <row r="191" spans="1:5">
      <c r="A191" s="40"/>
      <c r="B191" s="11"/>
      <c r="C191" s="91"/>
      <c r="D191" s="88"/>
      <c r="E191" s="41"/>
    </row>
    <row r="192" spans="1:5">
      <c r="A192" s="40"/>
      <c r="B192" s="11"/>
      <c r="C192" s="91"/>
      <c r="D192" s="88"/>
      <c r="E192" s="41"/>
    </row>
    <row r="193" spans="1:5">
      <c r="A193" s="40"/>
      <c r="B193" s="11"/>
      <c r="C193" s="91"/>
      <c r="D193" s="88"/>
      <c r="E193" s="41"/>
    </row>
    <row r="194" spans="1:5">
      <c r="A194" s="40"/>
      <c r="B194" s="11"/>
      <c r="C194" s="91"/>
      <c r="D194" s="88"/>
      <c r="E194" s="41"/>
    </row>
    <row r="195" spans="1:5">
      <c r="A195" s="40"/>
      <c r="B195" s="11"/>
      <c r="C195" s="91"/>
      <c r="D195" s="88"/>
      <c r="E195" s="41"/>
    </row>
    <row r="196" spans="1:5">
      <c r="A196" s="40"/>
      <c r="B196" s="11"/>
      <c r="C196" s="91"/>
      <c r="D196" s="88"/>
      <c r="E196" s="41"/>
    </row>
    <row r="197" spans="1:5">
      <c r="A197" s="40"/>
      <c r="B197" s="11"/>
      <c r="C197" s="91"/>
      <c r="D197" s="88"/>
      <c r="E197" s="41"/>
    </row>
    <row r="198" spans="1:5">
      <c r="A198" s="40"/>
      <c r="B198" s="11"/>
      <c r="C198" s="91"/>
      <c r="D198" s="88"/>
      <c r="E198" s="41"/>
    </row>
    <row r="199" spans="1:5">
      <c r="A199" s="40"/>
      <c r="B199" s="92"/>
      <c r="C199" s="93"/>
      <c r="D199" s="88"/>
      <c r="E199" s="41"/>
    </row>
    <row r="200" spans="1:5" ht="17.25" thickBot="1">
      <c r="A200" s="42"/>
      <c r="B200" s="67"/>
      <c r="C200" s="94"/>
      <c r="D200" s="90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1"/>
    <col min="11" max="11" width="17.375" customWidth="1"/>
    <col min="12" max="12" width="17.5" bestFit="1" customWidth="1"/>
    <col min="14" max="14" width="9" style="71"/>
    <col min="15" max="15" width="17.375" customWidth="1"/>
    <col min="16" max="16" width="17.5" bestFit="1" customWidth="1"/>
    <col min="18" max="18" width="9" style="71"/>
  </cols>
  <sheetData>
    <row r="1" spans="1:18" ht="17.25" thickBot="1">
      <c r="A1" s="63" t="s">
        <v>287</v>
      </c>
      <c r="B1" s="65" t="s">
        <v>39</v>
      </c>
      <c r="C1" s="64" t="s">
        <v>37</v>
      </c>
      <c r="D1" s="66" t="s">
        <v>38</v>
      </c>
      <c r="E1" s="87" t="s">
        <v>294</v>
      </c>
    </row>
    <row r="2" spans="1:18" ht="17.25" thickBot="1">
      <c r="A2" s="40" t="s">
        <v>83</v>
      </c>
      <c r="B2" s="11" t="s">
        <v>84</v>
      </c>
      <c r="C2" s="91">
        <v>2810</v>
      </c>
      <c r="D2" s="88">
        <v>0.1353535354</v>
      </c>
      <c r="E2" s="89">
        <v>533694308.04997879</v>
      </c>
      <c r="F2" s="35"/>
      <c r="G2" s="54"/>
      <c r="H2" s="35"/>
      <c r="I2" s="35"/>
    </row>
    <row r="3" spans="1:18" ht="17.25" thickBot="1">
      <c r="A3" s="40" t="s">
        <v>87</v>
      </c>
      <c r="B3" s="11" t="s">
        <v>88</v>
      </c>
      <c r="C3" s="91">
        <v>588</v>
      </c>
      <c r="D3" s="88">
        <v>9.0909090900000003E-2</v>
      </c>
      <c r="E3" s="89">
        <v>524440209.51197821</v>
      </c>
      <c r="F3" s="35"/>
      <c r="G3" s="310" t="s">
        <v>290</v>
      </c>
      <c r="H3" s="331" t="s">
        <v>407</v>
      </c>
      <c r="I3" s="331"/>
      <c r="K3" s="249" t="s">
        <v>34</v>
      </c>
      <c r="L3" s="250"/>
      <c r="M3" s="250"/>
      <c r="N3" s="251"/>
      <c r="O3" s="249" t="s">
        <v>291</v>
      </c>
      <c r="P3" s="250"/>
      <c r="Q3" s="250"/>
      <c r="R3" s="251"/>
    </row>
    <row r="4" spans="1:18" ht="17.25" thickBot="1">
      <c r="A4" s="40" t="s">
        <v>115</v>
      </c>
      <c r="B4" s="11" t="s">
        <v>116</v>
      </c>
      <c r="C4" s="91">
        <v>588</v>
      </c>
      <c r="D4" s="88">
        <v>8.2872928200000001E-2</v>
      </c>
      <c r="E4" s="89">
        <v>82538669.152151495</v>
      </c>
      <c r="F4" s="35"/>
      <c r="G4" s="311"/>
      <c r="H4" s="332"/>
      <c r="I4" s="332"/>
      <c r="K4" s="314" t="s">
        <v>55</v>
      </c>
      <c r="L4" s="335">
        <f ca="1">NOW()</f>
        <v>44332.00507939815</v>
      </c>
      <c r="M4" s="336"/>
      <c r="N4" s="337"/>
      <c r="O4" s="326" t="s">
        <v>55</v>
      </c>
      <c r="P4" s="335">
        <f ca="1">NOW()</f>
        <v>44332.00507939815</v>
      </c>
      <c r="Q4" s="336"/>
      <c r="R4" s="337"/>
    </row>
    <row r="5" spans="1:18" ht="17.25" thickBot="1">
      <c r="A5" s="40" t="s">
        <v>50</v>
      </c>
      <c r="B5" s="11" t="s">
        <v>51</v>
      </c>
      <c r="C5" s="91">
        <v>888</v>
      </c>
      <c r="D5" s="88">
        <v>7.7669902900000004E-2</v>
      </c>
      <c r="E5" s="89">
        <v>396022834.09353095</v>
      </c>
      <c r="F5" s="35"/>
      <c r="K5" s="311"/>
      <c r="L5" s="51" t="s">
        <v>58</v>
      </c>
      <c r="M5" s="69" t="s">
        <v>59</v>
      </c>
      <c r="N5" s="65" t="s">
        <v>294</v>
      </c>
      <c r="O5" s="266"/>
      <c r="P5" s="51" t="s">
        <v>58</v>
      </c>
      <c r="Q5" s="69" t="s">
        <v>59</v>
      </c>
      <c r="R5" s="87" t="s">
        <v>294</v>
      </c>
    </row>
    <row r="6" spans="1:18" ht="17.25" thickBot="1">
      <c r="A6" s="40" t="s">
        <v>73</v>
      </c>
      <c r="B6" s="11" t="s">
        <v>74</v>
      </c>
      <c r="C6" s="91">
        <v>34130</v>
      </c>
      <c r="D6" s="88">
        <v>6.7563340599999994E-2</v>
      </c>
      <c r="E6" s="89">
        <v>1553745.2863393701</v>
      </c>
      <c r="F6" s="35"/>
      <c r="G6" s="249" t="s">
        <v>52</v>
      </c>
      <c r="H6" s="250"/>
      <c r="I6" s="251"/>
      <c r="K6" s="55" t="str">
        <f ca="1">IFERROR(OFFSET(INDIRECT($H$3 &amp; "!A17"), 0, 0), "")</f>
        <v>오브스</v>
      </c>
      <c r="L6" s="38">
        <f t="shared" ref="L6:L25" ca="1" si="0">_xlfn.IFNA(VLOOKUP(K6, $B$2:$D$200, 2, FALSE), "")</f>
        <v>142</v>
      </c>
      <c r="M6" s="72">
        <f t="shared" ref="M6:M25" ca="1" si="1">_xlfn.IFNA(VLOOKUP(K6, $B$2:$D$200, 3, FALSE), "")</f>
        <v>-2.73972603E-2</v>
      </c>
      <c r="N6" s="81">
        <f ca="1">_xlfn.IFNA(VLOOKUP(K6, $B$2:$E$200, 4, FALSE), "")</f>
        <v>80309285.625048608</v>
      </c>
      <c r="O6" s="68" t="s">
        <v>84</v>
      </c>
      <c r="P6" s="38">
        <f t="shared" ref="P6:P25" si="2">_xlfn.IFNA(VLOOKUP(O6, $B$2:$D$200, 2, FALSE), "")</f>
        <v>2810</v>
      </c>
      <c r="Q6" s="72">
        <f t="shared" ref="Q6:Q25" si="3">_xlfn.IFNA(VLOOKUP(O6, $B$2:$D$200, 3, FALSE), "")</f>
        <v>0.1353535354</v>
      </c>
      <c r="R6" s="81">
        <f>_xlfn.IFNA(VLOOKUP(O6, $B$2:$E$200, 4, FALSE), "")</f>
        <v>533694308.04997879</v>
      </c>
    </row>
    <row r="7" spans="1:18">
      <c r="A7" s="40" t="s">
        <v>91</v>
      </c>
      <c r="B7" s="11" t="s">
        <v>92</v>
      </c>
      <c r="C7" s="91">
        <v>1835</v>
      </c>
      <c r="D7" s="88">
        <v>6.3768115900000005E-2</v>
      </c>
      <c r="E7" s="89">
        <v>656565416.02944064</v>
      </c>
      <c r="F7" s="35"/>
      <c r="G7" s="258" t="s">
        <v>36</v>
      </c>
      <c r="H7" s="259"/>
      <c r="I7" s="260"/>
      <c r="K7" s="56" t="str">
        <f ca="1">IFERROR(OFFSET(INDIRECT($H$3 &amp; "!A17"), 1, 0), "")</f>
        <v>크립토닷컴체인</v>
      </c>
      <c r="L7" s="39">
        <f t="shared" ca="1" si="0"/>
        <v>199</v>
      </c>
      <c r="M7" s="73">
        <f t="shared" ca="1" si="1"/>
        <v>-1.97044335E-2</v>
      </c>
      <c r="N7" s="82">
        <f t="shared" ref="N7:N25" ca="1" si="4">_xlfn.IFNA(VLOOKUP(K7, $B$2:$E$200, 4, FALSE), "")</f>
        <v>49627546.767749861</v>
      </c>
      <c r="O7" s="84" t="s">
        <v>88</v>
      </c>
      <c r="P7" s="39">
        <f t="shared" si="2"/>
        <v>588</v>
      </c>
      <c r="Q7" s="73">
        <f t="shared" si="3"/>
        <v>9.0909090900000003E-2</v>
      </c>
      <c r="R7" s="82">
        <f t="shared" ref="R7:R25" si="5">_xlfn.IFNA(VLOOKUP(O7, $B$2:$E$200, 4, FALSE), "")</f>
        <v>524440209.51197821</v>
      </c>
    </row>
    <row r="8" spans="1:18" ht="17.25" thickBot="1">
      <c r="A8" s="40" t="s">
        <v>245</v>
      </c>
      <c r="B8" s="11" t="s">
        <v>246</v>
      </c>
      <c r="C8" s="91">
        <v>346</v>
      </c>
      <c r="D8" s="88">
        <v>5.4878048800000002E-2</v>
      </c>
      <c r="E8" s="89">
        <v>306909751.128295</v>
      </c>
      <c r="F8" s="35"/>
      <c r="G8" s="264"/>
      <c r="H8" s="265"/>
      <c r="I8" s="266"/>
      <c r="K8" s="56" t="str">
        <f ca="1">IFERROR(OFFSET(INDIRECT($H$3 &amp; "!A17"), 2, 0), "")</f>
        <v>룸네트워크</v>
      </c>
      <c r="L8" s="39">
        <f t="shared" ca="1" si="0"/>
        <v>147</v>
      </c>
      <c r="M8" s="73">
        <f t="shared" ca="1" si="1"/>
        <v>-4.5454545499999999E-2</v>
      </c>
      <c r="N8" s="82">
        <f t="shared" ca="1" si="4"/>
        <v>73060247.296256959</v>
      </c>
      <c r="O8" s="84" t="s">
        <v>116</v>
      </c>
      <c r="P8" s="39">
        <f t="shared" si="2"/>
        <v>588</v>
      </c>
      <c r="Q8" s="73">
        <f t="shared" si="3"/>
        <v>8.2872928200000001E-2</v>
      </c>
      <c r="R8" s="82">
        <f t="shared" si="5"/>
        <v>82538669.152151495</v>
      </c>
    </row>
    <row r="9" spans="1:18" ht="17.25" thickBot="1">
      <c r="A9" s="40" t="s">
        <v>167</v>
      </c>
      <c r="B9" s="11" t="s">
        <v>168</v>
      </c>
      <c r="C9" s="91">
        <v>211</v>
      </c>
      <c r="D9" s="88">
        <v>4.4554455399999998E-2</v>
      </c>
      <c r="E9" s="89">
        <v>784200302.69919455</v>
      </c>
      <c r="F9" s="35"/>
      <c r="G9" s="50" t="s">
        <v>38</v>
      </c>
      <c r="H9" s="250" t="s">
        <v>37</v>
      </c>
      <c r="I9" s="251"/>
      <c r="K9" s="56" t="str">
        <f ca="1">IFERROR(OFFSET(INDIRECT($H$3 &amp; "!A17"), 3, 0), "")</f>
        <v>이그니스</v>
      </c>
      <c r="L9" s="39">
        <f t="shared" ca="1" si="0"/>
        <v>151</v>
      </c>
      <c r="M9" s="73">
        <f t="shared" ca="1" si="1"/>
        <v>0</v>
      </c>
      <c r="N9" s="82">
        <f t="shared" ca="1" si="4"/>
        <v>100236104.07215048</v>
      </c>
      <c r="O9" s="84" t="s">
        <v>51</v>
      </c>
      <c r="P9" s="39">
        <f t="shared" si="2"/>
        <v>888</v>
      </c>
      <c r="Q9" s="73">
        <f t="shared" si="3"/>
        <v>7.7669902900000004E-2</v>
      </c>
      <c r="R9" s="82">
        <f t="shared" si="5"/>
        <v>396022834.09353095</v>
      </c>
    </row>
    <row r="10" spans="1:18">
      <c r="A10" s="40" t="s">
        <v>229</v>
      </c>
      <c r="B10" s="11" t="s">
        <v>230</v>
      </c>
      <c r="C10" s="91">
        <v>155</v>
      </c>
      <c r="D10" s="88">
        <v>4.0268456399999999E-2</v>
      </c>
      <c r="E10" s="89">
        <v>155502081.61877424</v>
      </c>
      <c r="F10" s="35"/>
      <c r="G10" s="333">
        <f>_xlfn.IFNA(VLOOKUP(G7, $B$2:$D$200, 3, FALSE), "-")</f>
        <v>-1.4936000099999999E-2</v>
      </c>
      <c r="H10" s="327">
        <f>_xlfn.IFNA(VLOOKUP(G7, $B$2:$D$200, 2, FALSE), "-")</f>
        <v>60874000</v>
      </c>
      <c r="I10" s="328"/>
      <c r="K10" s="58" t="str">
        <f ca="1">IFERROR(OFFSET(INDIRECT($H$3 &amp; "!A17"), 4, 0), "")</f>
        <v>모스코인</v>
      </c>
      <c r="L10" s="44">
        <f t="shared" ca="1" si="0"/>
        <v>157</v>
      </c>
      <c r="M10" s="74">
        <f t="shared" ca="1" si="1"/>
        <v>-7.1005917200000004E-2</v>
      </c>
      <c r="N10" s="86">
        <f t="shared" ca="1" si="4"/>
        <v>37981617.26199533</v>
      </c>
      <c r="O10" s="84" t="s">
        <v>74</v>
      </c>
      <c r="P10" s="39">
        <f t="shared" si="2"/>
        <v>34130</v>
      </c>
      <c r="Q10" s="73">
        <f t="shared" si="3"/>
        <v>6.7563340599999994E-2</v>
      </c>
      <c r="R10" s="86">
        <f t="shared" si="5"/>
        <v>1553745.2863393701</v>
      </c>
    </row>
    <row r="11" spans="1:18" ht="17.25" thickBot="1">
      <c r="A11" s="40" t="s">
        <v>85</v>
      </c>
      <c r="B11" s="11" t="s">
        <v>86</v>
      </c>
      <c r="C11" s="91">
        <v>14240</v>
      </c>
      <c r="D11" s="88">
        <v>3.0390738099999998E-2</v>
      </c>
      <c r="E11" s="89">
        <v>51410481.499008209</v>
      </c>
      <c r="F11" s="35"/>
      <c r="G11" s="334"/>
      <c r="H11" s="329"/>
      <c r="I11" s="330"/>
      <c r="K11" s="56" t="str">
        <f ca="1">IFERROR(OFFSET(INDIRECT($H$3 &amp; "!A17"), 5, 0), "")</f>
        <v>아르고</v>
      </c>
      <c r="L11" s="39">
        <f t="shared" ca="1" si="0"/>
        <v>305</v>
      </c>
      <c r="M11" s="73">
        <f t="shared" ca="1" si="1"/>
        <v>-2.5559105400000001E-2</v>
      </c>
      <c r="N11" s="95">
        <f t="shared" ca="1" si="4"/>
        <v>12543910.28568789</v>
      </c>
      <c r="O11" s="85" t="s">
        <v>92</v>
      </c>
      <c r="P11" s="45">
        <f t="shared" si="2"/>
        <v>1835</v>
      </c>
      <c r="Q11" s="76">
        <f t="shared" si="3"/>
        <v>6.3768115900000005E-2</v>
      </c>
      <c r="R11" s="95">
        <f t="shared" si="5"/>
        <v>656565416.02944064</v>
      </c>
    </row>
    <row r="12" spans="1:18" ht="17.25" thickBot="1">
      <c r="A12" s="40" t="s">
        <v>219</v>
      </c>
      <c r="B12" s="11" t="s">
        <v>220</v>
      </c>
      <c r="C12" s="91">
        <v>18.399999999999999</v>
      </c>
      <c r="D12" s="88">
        <v>2.2222222199999999E-2</v>
      </c>
      <c r="E12" s="89">
        <v>2657865152.620266</v>
      </c>
      <c r="F12" s="35"/>
      <c r="K12" s="56" t="str">
        <f ca="1">IFERROR(OFFSET(INDIRECT($H$3 &amp; "!A17"), 6, 0), "")</f>
        <v>센티넬프로토콜</v>
      </c>
      <c r="L12" s="39">
        <f t="shared" ca="1" si="0"/>
        <v>151</v>
      </c>
      <c r="M12" s="73">
        <f t="shared" ca="1" si="1"/>
        <v>-1.30718954E-2</v>
      </c>
      <c r="N12" s="82">
        <f t="shared" ca="1" si="4"/>
        <v>72464061.377674907</v>
      </c>
      <c r="O12" s="84" t="s">
        <v>246</v>
      </c>
      <c r="P12" s="39">
        <f t="shared" si="2"/>
        <v>346</v>
      </c>
      <c r="Q12" s="73">
        <f t="shared" si="3"/>
        <v>5.4878048800000002E-2</v>
      </c>
      <c r="R12" s="82">
        <f t="shared" si="5"/>
        <v>306909751.128295</v>
      </c>
    </row>
    <row r="13" spans="1:18" ht="17.25" thickBot="1">
      <c r="A13" s="40" t="s">
        <v>205</v>
      </c>
      <c r="B13" s="11" t="s">
        <v>206</v>
      </c>
      <c r="C13" s="91">
        <v>31500</v>
      </c>
      <c r="D13" s="88">
        <v>2.1732079099999999E-2</v>
      </c>
      <c r="E13" s="89">
        <v>689715.62758766999</v>
      </c>
      <c r="F13" s="35"/>
      <c r="G13" s="249" t="s">
        <v>70</v>
      </c>
      <c r="H13" s="250"/>
      <c r="I13" s="251"/>
      <c r="K13" s="56" t="str">
        <f ca="1">IFERROR(OFFSET(INDIRECT($H$3 &amp; "!A17"), 7, 0), "")</f>
        <v>보라</v>
      </c>
      <c r="L13" s="39">
        <f t="shared" ca="1" si="0"/>
        <v>243</v>
      </c>
      <c r="M13" s="73">
        <f t="shared" ca="1" si="1"/>
        <v>-5.4474708199999999E-2</v>
      </c>
      <c r="N13" s="82">
        <f t="shared" ca="1" si="4"/>
        <v>25224391.41620988</v>
      </c>
      <c r="O13" s="84" t="s">
        <v>168</v>
      </c>
      <c r="P13" s="39">
        <f t="shared" si="2"/>
        <v>211</v>
      </c>
      <c r="Q13" s="73">
        <f t="shared" si="3"/>
        <v>4.4554455399999998E-2</v>
      </c>
      <c r="R13" s="82">
        <f t="shared" si="5"/>
        <v>784200302.69919455</v>
      </c>
    </row>
    <row r="14" spans="1:18">
      <c r="A14" s="40" t="s">
        <v>225</v>
      </c>
      <c r="B14" s="11" t="s">
        <v>226</v>
      </c>
      <c r="C14" s="91">
        <v>446</v>
      </c>
      <c r="D14" s="88">
        <v>2.0594965699999999E-2</v>
      </c>
      <c r="E14" s="89">
        <v>104379599.81472524</v>
      </c>
      <c r="F14" s="35"/>
      <c r="G14" s="258" t="s">
        <v>36</v>
      </c>
      <c r="H14" s="259"/>
      <c r="I14" s="260"/>
      <c r="K14" s="56" t="str">
        <f ca="1">IFERROR(OFFSET(INDIRECT($H$3 &amp; "!A17"), 8, 0), "")</f>
        <v>디카르고</v>
      </c>
      <c r="L14" s="39">
        <f t="shared" ca="1" si="0"/>
        <v>226</v>
      </c>
      <c r="M14" s="73">
        <f t="shared" ca="1" si="1"/>
        <v>-3.4188034200000002E-2</v>
      </c>
      <c r="N14" s="82">
        <f t="shared" ca="1" si="4"/>
        <v>46547070.56972038</v>
      </c>
      <c r="O14" s="84" t="s">
        <v>230</v>
      </c>
      <c r="P14" s="39">
        <f t="shared" si="2"/>
        <v>155</v>
      </c>
      <c r="Q14" s="73">
        <f t="shared" si="3"/>
        <v>4.0268456399999999E-2</v>
      </c>
      <c r="R14" s="82">
        <f t="shared" si="5"/>
        <v>155502081.61877424</v>
      </c>
    </row>
    <row r="15" spans="1:18" ht="17.25" thickBot="1">
      <c r="A15" s="40" t="s">
        <v>209</v>
      </c>
      <c r="B15" s="11" t="s">
        <v>210</v>
      </c>
      <c r="C15" s="91">
        <v>171</v>
      </c>
      <c r="D15" s="88">
        <v>1.7857142900000001E-2</v>
      </c>
      <c r="E15" s="89">
        <v>142642306.33189583</v>
      </c>
      <c r="F15" s="35"/>
      <c r="G15" s="264"/>
      <c r="H15" s="265"/>
      <c r="I15" s="266"/>
      <c r="K15" s="57" t="str">
        <f ca="1">IFERROR(OFFSET(INDIRECT($H$3 &amp; "!A17"), 9, 0), "")</f>
        <v>픽셀</v>
      </c>
      <c r="L15" s="37">
        <f t="shared" ca="1" si="0"/>
        <v>102</v>
      </c>
      <c r="M15" s="75">
        <f t="shared" ca="1" si="1"/>
        <v>-3.7735849100000003E-2</v>
      </c>
      <c r="N15" s="83">
        <f t="shared" ca="1" si="4"/>
        <v>82339193.967049837</v>
      </c>
      <c r="O15" s="70" t="s">
        <v>86</v>
      </c>
      <c r="P15" s="37">
        <f t="shared" si="2"/>
        <v>14240</v>
      </c>
      <c r="Q15" s="75">
        <f t="shared" si="3"/>
        <v>3.0390738099999998E-2</v>
      </c>
      <c r="R15" s="83">
        <f t="shared" si="5"/>
        <v>51410481.499008209</v>
      </c>
    </row>
    <row r="16" spans="1:18" ht="17.25" thickBot="1">
      <c r="A16" s="40" t="s">
        <v>259</v>
      </c>
      <c r="B16" s="11" t="s">
        <v>260</v>
      </c>
      <c r="C16" s="91">
        <v>131</v>
      </c>
      <c r="D16" s="88">
        <v>1.5503876E-2</v>
      </c>
      <c r="E16" s="89">
        <v>1573271175.2892375</v>
      </c>
      <c r="F16" s="35"/>
      <c r="G16" s="50" t="s">
        <v>38</v>
      </c>
      <c r="H16" s="250" t="s">
        <v>37</v>
      </c>
      <c r="I16" s="251"/>
      <c r="K16" s="55" t="str">
        <f ca="1">IFERROR(OFFSET(INDIRECT($H$3 &amp; "!A17"), 10, 0), "")</f>
        <v>메타디움</v>
      </c>
      <c r="L16" s="38">
        <f t="shared" ca="1" si="0"/>
        <v>163</v>
      </c>
      <c r="M16" s="72">
        <f t="shared" ca="1" si="1"/>
        <v>-4.1176470600000001E-2</v>
      </c>
      <c r="N16" s="81">
        <f t="shared" ca="1" si="4"/>
        <v>67675728.055512086</v>
      </c>
      <c r="O16" s="68" t="s">
        <v>220</v>
      </c>
      <c r="P16" s="38">
        <f t="shared" si="2"/>
        <v>18.399999999999999</v>
      </c>
      <c r="Q16" s="72">
        <f t="shared" si="3"/>
        <v>2.2222222199999999E-2</v>
      </c>
      <c r="R16" s="81">
        <f t="shared" si="5"/>
        <v>2657865152.620266</v>
      </c>
    </row>
    <row r="17" spans="1:18">
      <c r="A17" s="40" t="s">
        <v>125</v>
      </c>
      <c r="B17" s="11" t="s">
        <v>126</v>
      </c>
      <c r="C17" s="91">
        <v>49.7</v>
      </c>
      <c r="D17" s="88">
        <v>2.0161290000000002E-3</v>
      </c>
      <c r="E17" s="89">
        <v>495343034.2513895</v>
      </c>
      <c r="F17" s="35"/>
      <c r="G17" s="333">
        <f>_xlfn.IFNA(VLOOKUP(G14, $B$2:$D$200, 3, FALSE), "-")</f>
        <v>-1.4936000099999999E-2</v>
      </c>
      <c r="H17" s="327">
        <f>_xlfn.IFNA(VLOOKUP(G14, $B$2:$D$200, 2, FALSE), "-")</f>
        <v>60874000</v>
      </c>
      <c r="I17" s="328"/>
      <c r="K17" s="56" t="str">
        <f ca="1">IFERROR(OFFSET(INDIRECT($H$3 &amp; "!A17"), 11, 0), "")</f>
        <v>솔브케어</v>
      </c>
      <c r="L17" s="39">
        <f t="shared" ca="1" si="0"/>
        <v>243</v>
      </c>
      <c r="M17" s="73">
        <f t="shared" ca="1" si="1"/>
        <v>-1.2195121999999999E-2</v>
      </c>
      <c r="N17" s="82">
        <f t="shared" ca="1" si="4"/>
        <v>19256372.502526872</v>
      </c>
      <c r="O17" s="84" t="s">
        <v>206</v>
      </c>
      <c r="P17" s="39">
        <f t="shared" si="2"/>
        <v>31500</v>
      </c>
      <c r="Q17" s="73">
        <f t="shared" si="3"/>
        <v>2.1732079099999999E-2</v>
      </c>
      <c r="R17" s="82">
        <f t="shared" si="5"/>
        <v>689715.62758766999</v>
      </c>
    </row>
    <row r="18" spans="1:18" ht="17.25" thickBot="1">
      <c r="A18" s="40" t="s">
        <v>56</v>
      </c>
      <c r="B18" s="11" t="s">
        <v>57</v>
      </c>
      <c r="C18" s="91">
        <v>395</v>
      </c>
      <c r="D18" s="88">
        <v>0</v>
      </c>
      <c r="E18" s="89">
        <v>67814827.305056289</v>
      </c>
      <c r="F18" s="35"/>
      <c r="G18" s="334"/>
      <c r="H18" s="329"/>
      <c r="I18" s="330"/>
      <c r="K18" s="56" t="str">
        <f ca="1">IFERROR(OFFSET(INDIRECT($H$3 &amp; "!A17"), 12, 0), "")</f>
        <v>피르마체인</v>
      </c>
      <c r="L18" s="39">
        <f t="shared" ca="1" si="0"/>
        <v>171</v>
      </c>
      <c r="M18" s="73">
        <f t="shared" ca="1" si="1"/>
        <v>1.7857142900000001E-2</v>
      </c>
      <c r="N18" s="82">
        <f t="shared" ca="1" si="4"/>
        <v>142642306.33189583</v>
      </c>
      <c r="O18" s="84" t="s">
        <v>226</v>
      </c>
      <c r="P18" s="39">
        <f t="shared" si="2"/>
        <v>446</v>
      </c>
      <c r="Q18" s="73">
        <f t="shared" si="3"/>
        <v>2.0594965699999999E-2</v>
      </c>
      <c r="R18" s="82">
        <f t="shared" si="5"/>
        <v>104379599.81472524</v>
      </c>
    </row>
    <row r="19" spans="1:18" ht="17.25" thickBot="1">
      <c r="A19" s="40" t="s">
        <v>155</v>
      </c>
      <c r="B19" s="11" t="s">
        <v>156</v>
      </c>
      <c r="C19" s="91">
        <v>154</v>
      </c>
      <c r="D19" s="88">
        <v>0</v>
      </c>
      <c r="E19" s="89">
        <v>377771134.06171662</v>
      </c>
      <c r="F19" s="35"/>
      <c r="K19" s="56" t="str">
        <f ca="1">IFERROR(OFFSET(INDIRECT($H$3 &amp; "!A17"), 13, 0), "")</f>
        <v>메디블록</v>
      </c>
      <c r="L19" s="39">
        <f t="shared" ca="1" si="0"/>
        <v>123</v>
      </c>
      <c r="M19" s="73">
        <f t="shared" ca="1" si="1"/>
        <v>-3.90625E-2</v>
      </c>
      <c r="N19" s="82">
        <f t="shared" ca="1" si="4"/>
        <v>299496467.05556184</v>
      </c>
      <c r="O19" s="84" t="s">
        <v>210</v>
      </c>
      <c r="P19" s="39">
        <f t="shared" si="2"/>
        <v>171</v>
      </c>
      <c r="Q19" s="73">
        <f t="shared" si="3"/>
        <v>1.7857142900000001E-2</v>
      </c>
      <c r="R19" s="82">
        <f t="shared" si="5"/>
        <v>142642306.33189583</v>
      </c>
    </row>
    <row r="20" spans="1:18" ht="17.25" thickBot="1">
      <c r="A20" s="40" t="s">
        <v>281</v>
      </c>
      <c r="B20" s="11" t="s">
        <v>282</v>
      </c>
      <c r="C20" s="91">
        <v>151</v>
      </c>
      <c r="D20" s="88">
        <v>0</v>
      </c>
      <c r="E20" s="89">
        <v>100236104.07215048</v>
      </c>
      <c r="F20" s="35"/>
      <c r="G20" s="249" t="s">
        <v>286</v>
      </c>
      <c r="H20" s="250"/>
      <c r="I20" s="251"/>
      <c r="K20" s="58" t="str">
        <f ca="1">IFERROR(OFFSET(INDIRECT($H$3 &amp; "!A17"), 14, 0), "")</f>
        <v>플레이댑</v>
      </c>
      <c r="L20" s="44">
        <f t="shared" ca="1" si="0"/>
        <v>446</v>
      </c>
      <c r="M20" s="74">
        <f t="shared" ca="1" si="1"/>
        <v>2.0594965699999999E-2</v>
      </c>
      <c r="N20" s="86">
        <f t="shared" ca="1" si="4"/>
        <v>104379599.81472524</v>
      </c>
      <c r="O20" s="84" t="s">
        <v>260</v>
      </c>
      <c r="P20" s="39">
        <f t="shared" si="2"/>
        <v>131</v>
      </c>
      <c r="Q20" s="73">
        <f t="shared" si="3"/>
        <v>1.5503876E-2</v>
      </c>
      <c r="R20" s="86">
        <f t="shared" si="5"/>
        <v>1573271175.2892375</v>
      </c>
    </row>
    <row r="21" spans="1:18">
      <c r="A21" s="40" t="s">
        <v>89</v>
      </c>
      <c r="B21" s="11" t="s">
        <v>90</v>
      </c>
      <c r="C21" s="91">
        <v>413500</v>
      </c>
      <c r="D21" s="88">
        <v>-1.2090439999999999E-4</v>
      </c>
      <c r="E21" s="89">
        <v>41938.20278367</v>
      </c>
      <c r="F21" s="35"/>
      <c r="G21" s="258" t="s">
        <v>36</v>
      </c>
      <c r="H21" s="259"/>
      <c r="I21" s="260"/>
      <c r="K21" s="56" t="str">
        <f ca="1">IFERROR(OFFSET(INDIRECT($H$3 &amp; "!A17"), 15, 0), "")</f>
        <v>엔도르</v>
      </c>
      <c r="L21" s="39">
        <f t="shared" ca="1" si="0"/>
        <v>70.7</v>
      </c>
      <c r="M21" s="73">
        <f t="shared" ca="1" si="1"/>
        <v>-2.7510316399999998E-2</v>
      </c>
      <c r="N21" s="95">
        <f t="shared" ca="1" si="4"/>
        <v>1160036204.7035651</v>
      </c>
      <c r="O21" s="85" t="s">
        <v>126</v>
      </c>
      <c r="P21" s="45">
        <f t="shared" si="2"/>
        <v>49.7</v>
      </c>
      <c r="Q21" s="76">
        <f t="shared" si="3"/>
        <v>2.0161290000000002E-3</v>
      </c>
      <c r="R21" s="95">
        <f t="shared" si="5"/>
        <v>495343034.2513895</v>
      </c>
    </row>
    <row r="22" spans="1:18" ht="17.25" thickBot="1">
      <c r="A22" s="40" t="s">
        <v>101</v>
      </c>
      <c r="B22" s="11" t="s">
        <v>102</v>
      </c>
      <c r="C22" s="91">
        <v>127600</v>
      </c>
      <c r="D22" s="88">
        <v>-2.7354434999999999E-3</v>
      </c>
      <c r="E22" s="89">
        <v>15118044.387468779</v>
      </c>
      <c r="F22" s="35"/>
      <c r="G22" s="264"/>
      <c r="H22" s="265"/>
      <c r="I22" s="266"/>
      <c r="K22" s="56">
        <f ca="1">IFERROR(OFFSET(INDIRECT($H$3 &amp; "!A17"), 16, 0), "")</f>
        <v>0</v>
      </c>
      <c r="L22" s="39" t="str">
        <f t="shared" ca="1" si="0"/>
        <v/>
      </c>
      <c r="M22" s="73" t="str">
        <f t="shared" ca="1" si="1"/>
        <v/>
      </c>
      <c r="N22" s="82" t="str">
        <f t="shared" ca="1" si="4"/>
        <v/>
      </c>
      <c r="O22" s="84" t="s">
        <v>57</v>
      </c>
      <c r="P22" s="39">
        <f t="shared" si="2"/>
        <v>395</v>
      </c>
      <c r="Q22" s="73">
        <f t="shared" si="3"/>
        <v>0</v>
      </c>
      <c r="R22" s="82">
        <f t="shared" si="5"/>
        <v>67814827.305056289</v>
      </c>
    </row>
    <row r="23" spans="1:18" ht="17.25" thickBot="1">
      <c r="A23" s="40" t="s">
        <v>137</v>
      </c>
      <c r="B23" s="11" t="s">
        <v>138</v>
      </c>
      <c r="C23" s="91">
        <v>58900</v>
      </c>
      <c r="D23" s="88">
        <v>-5.2356021000000003E-3</v>
      </c>
      <c r="E23" s="89">
        <v>6144917.4011686696</v>
      </c>
      <c r="F23" s="35"/>
      <c r="G23" s="50" t="s">
        <v>38</v>
      </c>
      <c r="H23" s="250" t="s">
        <v>37</v>
      </c>
      <c r="I23" s="251"/>
      <c r="K23" s="56">
        <f ca="1">IFERROR(OFFSET(INDIRECT($H$3 &amp; "!A17"), 17, 0), "")</f>
        <v>0</v>
      </c>
      <c r="L23" s="39" t="str">
        <f t="shared" ca="1" si="0"/>
        <v/>
      </c>
      <c r="M23" s="73" t="str">
        <f t="shared" ca="1" si="1"/>
        <v/>
      </c>
      <c r="N23" s="82" t="str">
        <f t="shared" ca="1" si="4"/>
        <v/>
      </c>
      <c r="O23" s="84" t="s">
        <v>156</v>
      </c>
      <c r="P23" s="39">
        <f t="shared" si="2"/>
        <v>154</v>
      </c>
      <c r="Q23" s="73">
        <f t="shared" si="3"/>
        <v>0</v>
      </c>
      <c r="R23" s="82">
        <f t="shared" si="5"/>
        <v>377771134.06171662</v>
      </c>
    </row>
    <row r="24" spans="1:18">
      <c r="A24" s="40" t="s">
        <v>215</v>
      </c>
      <c r="B24" s="11" t="s">
        <v>216</v>
      </c>
      <c r="C24" s="91">
        <v>438</v>
      </c>
      <c r="D24" s="88">
        <v>-1.12866817E-2</v>
      </c>
      <c r="E24" s="89">
        <v>17192659.376940109</v>
      </c>
      <c r="F24" s="35"/>
      <c r="G24" s="333">
        <f>_xlfn.IFNA(VLOOKUP(G21, $B$2:$D$200, 3, FALSE), "-")</f>
        <v>-1.4936000099999999E-2</v>
      </c>
      <c r="H24" s="327">
        <f>_xlfn.IFNA(VLOOKUP(G21, $B$2:$D$200, 2, FALSE), "-")</f>
        <v>60874000</v>
      </c>
      <c r="I24" s="328"/>
      <c r="K24" s="56">
        <f ca="1">IFERROR(OFFSET(INDIRECT($H$3 &amp; "!A17"), 18, 0), "")</f>
        <v>0</v>
      </c>
      <c r="L24" s="39" t="str">
        <f t="shared" ca="1" si="0"/>
        <v/>
      </c>
      <c r="M24" s="73" t="str">
        <f t="shared" ca="1" si="1"/>
        <v/>
      </c>
      <c r="N24" s="82" t="str">
        <f t="shared" ca="1" si="4"/>
        <v/>
      </c>
      <c r="O24" s="84" t="s">
        <v>282</v>
      </c>
      <c r="P24" s="39">
        <f t="shared" si="2"/>
        <v>151</v>
      </c>
      <c r="Q24" s="73">
        <f t="shared" si="3"/>
        <v>0</v>
      </c>
      <c r="R24" s="82">
        <f t="shared" si="5"/>
        <v>100236104.07215048</v>
      </c>
    </row>
    <row r="25" spans="1:18" ht="17.25" thickBot="1">
      <c r="A25" s="40" t="s">
        <v>237</v>
      </c>
      <c r="B25" s="11" t="s">
        <v>238</v>
      </c>
      <c r="C25" s="91">
        <v>243</v>
      </c>
      <c r="D25" s="88">
        <v>-1.2195121999999999E-2</v>
      </c>
      <c r="E25" s="89">
        <v>19256372.502526872</v>
      </c>
      <c r="F25" s="35"/>
      <c r="G25" s="334"/>
      <c r="H25" s="329"/>
      <c r="I25" s="330"/>
      <c r="K25" s="57">
        <f ca="1">IFERROR(OFFSET(INDIRECT($H$3 &amp; "!A17"), 19, 0), "")</f>
        <v>0</v>
      </c>
      <c r="L25" s="37" t="str">
        <f t="shared" ca="1" si="0"/>
        <v/>
      </c>
      <c r="M25" s="75" t="str">
        <f t="shared" ca="1" si="1"/>
        <v/>
      </c>
      <c r="N25" s="83" t="str">
        <f t="shared" ca="1" si="4"/>
        <v/>
      </c>
      <c r="O25" s="70" t="s">
        <v>90</v>
      </c>
      <c r="P25" s="37">
        <f t="shared" si="2"/>
        <v>413500</v>
      </c>
      <c r="Q25" s="75">
        <f t="shared" si="3"/>
        <v>-1.2090439999999999E-4</v>
      </c>
      <c r="R25" s="83">
        <f t="shared" si="5"/>
        <v>41938.20278367</v>
      </c>
    </row>
    <row r="26" spans="1:18">
      <c r="A26" s="40" t="s">
        <v>231</v>
      </c>
      <c r="B26" s="11" t="s">
        <v>232</v>
      </c>
      <c r="C26" s="91">
        <v>151</v>
      </c>
      <c r="D26" s="88">
        <v>-1.30718954E-2</v>
      </c>
      <c r="E26" s="89">
        <v>72464061.377674907</v>
      </c>
      <c r="F26" s="35"/>
    </row>
    <row r="27" spans="1:18" ht="17.25" thickBot="1">
      <c r="A27" s="40" t="s">
        <v>277</v>
      </c>
      <c r="B27" s="11" t="s">
        <v>278</v>
      </c>
      <c r="C27" s="91">
        <v>139</v>
      </c>
      <c r="D27" s="88">
        <v>-1.4184397200000001E-2</v>
      </c>
      <c r="E27" s="89">
        <v>26504988.700772692</v>
      </c>
      <c r="F27" s="35"/>
    </row>
    <row r="28" spans="1:18" ht="17.25" thickBot="1">
      <c r="A28" s="40" t="s">
        <v>117</v>
      </c>
      <c r="B28" s="11" t="s">
        <v>118</v>
      </c>
      <c r="C28" s="91">
        <v>6830</v>
      </c>
      <c r="D28" s="88">
        <v>-1.44300144E-2</v>
      </c>
      <c r="E28" s="89">
        <v>779955.60942640004</v>
      </c>
      <c r="F28" s="35"/>
      <c r="G28" s="249" t="s">
        <v>46</v>
      </c>
      <c r="H28" s="250"/>
      <c r="I28" s="250"/>
      <c r="J28" s="251"/>
      <c r="K28" s="249" t="s">
        <v>44</v>
      </c>
      <c r="L28" s="250"/>
      <c r="M28" s="250"/>
      <c r="N28" s="251"/>
      <c r="O28" s="249" t="s">
        <v>45</v>
      </c>
      <c r="P28" s="250"/>
      <c r="Q28" s="250"/>
      <c r="R28" s="251"/>
    </row>
    <row r="29" spans="1:18" ht="17.25" thickBot="1">
      <c r="A29" s="40" t="s">
        <v>48</v>
      </c>
      <c r="B29" s="11" t="s">
        <v>49</v>
      </c>
      <c r="C29" s="91">
        <v>60874000</v>
      </c>
      <c r="D29" s="88">
        <v>-1.4936000099999999E-2</v>
      </c>
      <c r="E29" s="89">
        <v>12542.28582714</v>
      </c>
      <c r="F29" s="35"/>
      <c r="G29" s="314" t="s">
        <v>55</v>
      </c>
      <c r="H29" s="335">
        <f ca="1">NOW()</f>
        <v>44332.00507939815</v>
      </c>
      <c r="I29" s="336"/>
      <c r="J29" s="337"/>
      <c r="K29" s="326" t="s">
        <v>55</v>
      </c>
      <c r="L29" s="335">
        <f ca="1">NOW()</f>
        <v>44332.00507939815</v>
      </c>
      <c r="M29" s="336"/>
      <c r="N29" s="337"/>
      <c r="O29" s="326" t="s">
        <v>55</v>
      </c>
      <c r="P29" s="335">
        <f ca="1">NOW()</f>
        <v>44332.00507939815</v>
      </c>
      <c r="Q29" s="336"/>
      <c r="R29" s="337"/>
    </row>
    <row r="30" spans="1:18" ht="17.25" thickBot="1">
      <c r="A30" s="40" t="s">
        <v>60</v>
      </c>
      <c r="B30" s="11" t="s">
        <v>61</v>
      </c>
      <c r="C30" s="91">
        <v>1570</v>
      </c>
      <c r="D30" s="88">
        <v>-1.5673981199999999E-2</v>
      </c>
      <c r="E30" s="89">
        <v>23040234.557378192</v>
      </c>
      <c r="F30" s="35"/>
      <c r="G30" s="311"/>
      <c r="H30" s="51" t="s">
        <v>58</v>
      </c>
      <c r="I30" s="69" t="s">
        <v>59</v>
      </c>
      <c r="J30" s="65" t="s">
        <v>294</v>
      </c>
      <c r="K30" s="266"/>
      <c r="L30" s="51" t="s">
        <v>58</v>
      </c>
      <c r="M30" s="69" t="s">
        <v>59</v>
      </c>
      <c r="N30" s="87" t="s">
        <v>294</v>
      </c>
      <c r="O30" s="266"/>
      <c r="P30" s="51" t="s">
        <v>58</v>
      </c>
      <c r="Q30" s="69" t="s">
        <v>59</v>
      </c>
      <c r="R30" s="87" t="s">
        <v>294</v>
      </c>
    </row>
    <row r="31" spans="1:18">
      <c r="A31" s="40" t="s">
        <v>179</v>
      </c>
      <c r="B31" s="11" t="s">
        <v>180</v>
      </c>
      <c r="C31" s="91">
        <v>4200</v>
      </c>
      <c r="D31" s="88">
        <v>-1.6393442599999999E-2</v>
      </c>
      <c r="E31" s="89">
        <v>3795599.90859207</v>
      </c>
      <c r="F31" s="35"/>
      <c r="G31" s="52" t="s">
        <v>84</v>
      </c>
      <c r="H31" s="38">
        <f t="shared" ref="H31:H50" si="6">_xlfn.IFNA(VLOOKUP(G31, $B$2:$D$200, 2, FALSE), "")</f>
        <v>2810</v>
      </c>
      <c r="I31" s="72">
        <f t="shared" ref="I31:I50" si="7">_xlfn.IFNA(VLOOKUP(G31, $B$2:$D$200, 3, FALSE), "")</f>
        <v>0.1353535354</v>
      </c>
      <c r="J31" s="81">
        <f>_xlfn.IFNA(VLOOKUP(G31, $B$2:$E$200, 4, FALSE), "")</f>
        <v>533694308.04997879</v>
      </c>
      <c r="K31" s="77" t="s">
        <v>220</v>
      </c>
      <c r="L31" s="38">
        <f t="shared" ref="L31:L50" si="8">_xlfn.IFNA(VLOOKUP(K31, $B$2:$D$200, 2, FALSE), "")</f>
        <v>18.399999999999999</v>
      </c>
      <c r="M31" s="72">
        <f t="shared" ref="M31:M50" si="9">_xlfn.IFNA(VLOOKUP(K31, $B$2:$D$200, 3, FALSE), "")</f>
        <v>2.2222222199999999E-2</v>
      </c>
      <c r="N31" s="81">
        <f>_xlfn.IFNA(VLOOKUP(K31, $B$2:$E$200, 4, FALSE), "")</f>
        <v>2657865152.620266</v>
      </c>
      <c r="O31" s="77" t="s">
        <v>88</v>
      </c>
      <c r="P31" s="38">
        <f t="shared" ref="P31:P50" si="10">_xlfn.IFNA(VLOOKUP(O31, $B$2:$D$200, 2, FALSE), "")</f>
        <v>588</v>
      </c>
      <c r="Q31" s="72">
        <f t="shared" ref="Q31:Q50" si="11">_xlfn.IFNA(VLOOKUP(O31, $B$2:$D$200, 3, FALSE), "")</f>
        <v>9.0909090900000003E-2</v>
      </c>
      <c r="R31" s="81">
        <f>_xlfn.IFNA(VLOOKUP(O31, $B$2:$E$200, 4, FALSE), "")</f>
        <v>524440209.51197821</v>
      </c>
    </row>
    <row r="32" spans="1:18">
      <c r="A32" s="40" t="s">
        <v>183</v>
      </c>
      <c r="B32" s="11" t="s">
        <v>184</v>
      </c>
      <c r="C32" s="91">
        <v>2485</v>
      </c>
      <c r="D32" s="88">
        <v>-1.77865613E-2</v>
      </c>
      <c r="E32" s="89">
        <v>1241088.2226606801</v>
      </c>
      <c r="F32" s="35"/>
      <c r="G32" s="47" t="s">
        <v>88</v>
      </c>
      <c r="H32" s="39">
        <f t="shared" si="6"/>
        <v>588</v>
      </c>
      <c r="I32" s="73">
        <f t="shared" si="7"/>
        <v>9.0909090900000003E-2</v>
      </c>
      <c r="J32" s="82">
        <f t="shared" ref="J32:J50" si="12">_xlfn.IFNA(VLOOKUP(G32, $B$2:$E$200, 4, FALSE), "")</f>
        <v>524440209.51197821</v>
      </c>
      <c r="K32" s="78" t="s">
        <v>126</v>
      </c>
      <c r="L32" s="39">
        <f t="shared" si="8"/>
        <v>49.7</v>
      </c>
      <c r="M32" s="73">
        <f t="shared" si="9"/>
        <v>2.0161290000000002E-3</v>
      </c>
      <c r="N32" s="82">
        <f t="shared" ref="N32:N50" si="13">_xlfn.IFNA(VLOOKUP(K32, $B$2:$E$200, 4, FALSE), "")</f>
        <v>495343034.2513895</v>
      </c>
      <c r="O32" s="78" t="s">
        <v>116</v>
      </c>
      <c r="P32" s="39">
        <f t="shared" si="10"/>
        <v>588</v>
      </c>
      <c r="Q32" s="73">
        <f t="shared" si="11"/>
        <v>8.2872928200000001E-2</v>
      </c>
      <c r="R32" s="82">
        <f t="shared" ref="R32:R50" si="14">_xlfn.IFNA(VLOOKUP(O32, $B$2:$E$200, 4, FALSE), "")</f>
        <v>82538669.152151495</v>
      </c>
    </row>
    <row r="33" spans="1:18">
      <c r="A33" s="40" t="s">
        <v>143</v>
      </c>
      <c r="B33" s="11" t="s">
        <v>144</v>
      </c>
      <c r="C33" s="91">
        <v>12410</v>
      </c>
      <c r="D33" s="88">
        <v>-1.8196202500000001E-2</v>
      </c>
      <c r="E33" s="89">
        <v>1991015.3869624999</v>
      </c>
      <c r="F33" s="35"/>
      <c r="G33" s="47" t="s">
        <v>116</v>
      </c>
      <c r="H33" s="39">
        <f t="shared" si="6"/>
        <v>588</v>
      </c>
      <c r="I33" s="73">
        <f t="shared" si="7"/>
        <v>8.2872928200000001E-2</v>
      </c>
      <c r="J33" s="82">
        <f t="shared" si="12"/>
        <v>82538669.152151495</v>
      </c>
      <c r="K33" s="78" t="s">
        <v>100</v>
      </c>
      <c r="L33" s="39">
        <f t="shared" si="8"/>
        <v>7.38</v>
      </c>
      <c r="M33" s="73">
        <f t="shared" si="9"/>
        <v>-2.3809523799999999E-2</v>
      </c>
      <c r="N33" s="82">
        <f t="shared" si="13"/>
        <v>20073649903.063255</v>
      </c>
      <c r="O33" s="78" t="s">
        <v>51</v>
      </c>
      <c r="P33" s="39">
        <f t="shared" si="10"/>
        <v>888</v>
      </c>
      <c r="Q33" s="73">
        <f t="shared" si="11"/>
        <v>7.7669902900000004E-2</v>
      </c>
      <c r="R33" s="82">
        <f t="shared" si="14"/>
        <v>396022834.09353095</v>
      </c>
    </row>
    <row r="34" spans="1:18">
      <c r="A34" s="40" t="s">
        <v>163</v>
      </c>
      <c r="B34" s="11" t="s">
        <v>164</v>
      </c>
      <c r="C34" s="91">
        <v>40630</v>
      </c>
      <c r="D34" s="88">
        <v>-1.9309679E-2</v>
      </c>
      <c r="E34" s="89">
        <v>1649949.13993035</v>
      </c>
      <c r="F34" s="35"/>
      <c r="G34" s="47" t="s">
        <v>51</v>
      </c>
      <c r="H34" s="39">
        <f t="shared" si="6"/>
        <v>888</v>
      </c>
      <c r="I34" s="73">
        <f t="shared" si="7"/>
        <v>7.7669902900000004E-2</v>
      </c>
      <c r="J34" s="82">
        <f t="shared" si="12"/>
        <v>396022834.09353095</v>
      </c>
      <c r="K34" s="78" t="s">
        <v>236</v>
      </c>
      <c r="L34" s="39">
        <f t="shared" si="8"/>
        <v>70.7</v>
      </c>
      <c r="M34" s="73">
        <f t="shared" si="9"/>
        <v>-2.7510316399999998E-2</v>
      </c>
      <c r="N34" s="82">
        <f t="shared" si="13"/>
        <v>1160036204.7035651</v>
      </c>
      <c r="O34" s="78" t="s">
        <v>246</v>
      </c>
      <c r="P34" s="39">
        <f t="shared" si="10"/>
        <v>346</v>
      </c>
      <c r="Q34" s="73">
        <f t="shared" si="11"/>
        <v>5.4878048800000002E-2</v>
      </c>
      <c r="R34" s="82">
        <f t="shared" si="14"/>
        <v>306909751.128295</v>
      </c>
    </row>
    <row r="35" spans="1:18">
      <c r="A35" s="40" t="s">
        <v>113</v>
      </c>
      <c r="B35" s="11" t="s">
        <v>114</v>
      </c>
      <c r="C35" s="91">
        <v>12110</v>
      </c>
      <c r="D35" s="88">
        <v>-1.9433198400000001E-2</v>
      </c>
      <c r="E35" s="89">
        <v>641298.91905084997</v>
      </c>
      <c r="F35" s="35"/>
      <c r="G35" s="47" t="s">
        <v>74</v>
      </c>
      <c r="H35" s="44">
        <f t="shared" si="6"/>
        <v>34130</v>
      </c>
      <c r="I35" s="74">
        <f t="shared" si="7"/>
        <v>6.7563340599999994E-2</v>
      </c>
      <c r="J35" s="86">
        <f t="shared" si="12"/>
        <v>1553745.2863393701</v>
      </c>
      <c r="K35" s="79" t="s">
        <v>196</v>
      </c>
      <c r="L35" s="44">
        <f t="shared" si="8"/>
        <v>17.600000000000001</v>
      </c>
      <c r="M35" s="74">
        <f t="shared" si="9"/>
        <v>-2.7624309400000002E-2</v>
      </c>
      <c r="N35" s="86">
        <f t="shared" si="13"/>
        <v>391735004.34278429</v>
      </c>
      <c r="O35" s="79" t="s">
        <v>168</v>
      </c>
      <c r="P35" s="44">
        <f t="shared" si="10"/>
        <v>211</v>
      </c>
      <c r="Q35" s="74">
        <f t="shared" si="11"/>
        <v>4.4554455399999998E-2</v>
      </c>
      <c r="R35" s="86">
        <f t="shared" si="14"/>
        <v>784200302.69919455</v>
      </c>
    </row>
    <row r="36" spans="1:18">
      <c r="A36" s="40" t="s">
        <v>119</v>
      </c>
      <c r="B36" s="11" t="s">
        <v>120</v>
      </c>
      <c r="C36" s="91">
        <v>199</v>
      </c>
      <c r="D36" s="88">
        <v>-1.97044335E-2</v>
      </c>
      <c r="E36" s="89">
        <v>49627546.767749861</v>
      </c>
      <c r="F36" s="35"/>
      <c r="G36" s="49" t="s">
        <v>92</v>
      </c>
      <c r="H36" s="39">
        <f t="shared" si="6"/>
        <v>1835</v>
      </c>
      <c r="I36" s="73">
        <f t="shared" si="7"/>
        <v>6.3768115900000005E-2</v>
      </c>
      <c r="J36" s="95">
        <f t="shared" si="12"/>
        <v>656565416.02944064</v>
      </c>
      <c r="K36" s="78" t="s">
        <v>254</v>
      </c>
      <c r="L36" s="39">
        <f t="shared" si="8"/>
        <v>71.7</v>
      </c>
      <c r="M36" s="73">
        <f t="shared" si="9"/>
        <v>-3.2388663999999998E-2</v>
      </c>
      <c r="N36" s="95">
        <f t="shared" si="13"/>
        <v>225734358.63439456</v>
      </c>
      <c r="O36" s="78" t="s">
        <v>230</v>
      </c>
      <c r="P36" s="39">
        <f t="shared" si="10"/>
        <v>155</v>
      </c>
      <c r="Q36" s="73">
        <f t="shared" si="11"/>
        <v>4.0268456399999999E-2</v>
      </c>
      <c r="R36" s="95">
        <f t="shared" si="14"/>
        <v>155502081.61877424</v>
      </c>
    </row>
    <row r="37" spans="1:18">
      <c r="A37" s="40" t="s">
        <v>159</v>
      </c>
      <c r="B37" s="11" t="s">
        <v>160</v>
      </c>
      <c r="C37" s="91">
        <v>2570</v>
      </c>
      <c r="D37" s="88">
        <v>-2.0952380999999999E-2</v>
      </c>
      <c r="E37" s="89">
        <v>3237762.4468288701</v>
      </c>
      <c r="F37" s="35"/>
      <c r="G37" s="47" t="s">
        <v>246</v>
      </c>
      <c r="H37" s="39">
        <f t="shared" si="6"/>
        <v>346</v>
      </c>
      <c r="I37" s="73">
        <f t="shared" si="7"/>
        <v>5.4878048800000002E-2</v>
      </c>
      <c r="J37" s="82">
        <f t="shared" si="12"/>
        <v>306909751.128295</v>
      </c>
      <c r="K37" s="78" t="s">
        <v>154</v>
      </c>
      <c r="L37" s="39">
        <f t="shared" si="8"/>
        <v>17.600000000000001</v>
      </c>
      <c r="M37" s="73">
        <f t="shared" si="9"/>
        <v>-3.2967033E-2</v>
      </c>
      <c r="N37" s="82">
        <f t="shared" si="13"/>
        <v>526128161.59523439</v>
      </c>
      <c r="O37" s="78" t="s">
        <v>226</v>
      </c>
      <c r="P37" s="39">
        <f t="shared" si="10"/>
        <v>446</v>
      </c>
      <c r="Q37" s="73">
        <f t="shared" si="11"/>
        <v>2.0594965699999999E-2</v>
      </c>
      <c r="R37" s="82">
        <f t="shared" si="14"/>
        <v>104379599.81472524</v>
      </c>
    </row>
    <row r="38" spans="1:18">
      <c r="A38" s="40" t="s">
        <v>127</v>
      </c>
      <c r="B38" s="11" t="s">
        <v>128</v>
      </c>
      <c r="C38" s="91">
        <v>585</v>
      </c>
      <c r="D38" s="88">
        <v>-2.1739130400000001E-2</v>
      </c>
      <c r="E38" s="89">
        <v>30346667.619327769</v>
      </c>
      <c r="F38" s="35"/>
      <c r="G38" s="47" t="s">
        <v>168</v>
      </c>
      <c r="H38" s="39">
        <f t="shared" si="6"/>
        <v>211</v>
      </c>
      <c r="I38" s="73">
        <f t="shared" si="7"/>
        <v>4.4554455399999998E-2</v>
      </c>
      <c r="J38" s="82">
        <f t="shared" si="12"/>
        <v>784200302.69919455</v>
      </c>
      <c r="K38" s="78" t="s">
        <v>72</v>
      </c>
      <c r="L38" s="39">
        <f t="shared" si="8"/>
        <v>31.2</v>
      </c>
      <c r="M38" s="73">
        <f t="shared" si="9"/>
        <v>-3.7037037000000002E-2</v>
      </c>
      <c r="N38" s="82">
        <f t="shared" si="13"/>
        <v>66073535.463473022</v>
      </c>
      <c r="O38" s="78" t="s">
        <v>210</v>
      </c>
      <c r="P38" s="39">
        <f t="shared" si="10"/>
        <v>171</v>
      </c>
      <c r="Q38" s="73">
        <f t="shared" si="11"/>
        <v>1.7857142900000001E-2</v>
      </c>
      <c r="R38" s="82">
        <f t="shared" si="14"/>
        <v>142642306.33189583</v>
      </c>
    </row>
    <row r="39" spans="1:18">
      <c r="A39" s="40" t="s">
        <v>249</v>
      </c>
      <c r="B39" s="11" t="s">
        <v>250</v>
      </c>
      <c r="C39" s="91">
        <v>177</v>
      </c>
      <c r="D39" s="88">
        <v>-2.2099447500000001E-2</v>
      </c>
      <c r="E39" s="89">
        <v>27395724.975761291</v>
      </c>
      <c r="F39" s="35"/>
      <c r="G39" s="47" t="s">
        <v>230</v>
      </c>
      <c r="H39" s="39">
        <f t="shared" si="6"/>
        <v>155</v>
      </c>
      <c r="I39" s="73">
        <f t="shared" si="7"/>
        <v>4.0268456399999999E-2</v>
      </c>
      <c r="J39" s="82">
        <f t="shared" si="12"/>
        <v>155502081.61877424</v>
      </c>
      <c r="K39" s="78" t="s">
        <v>214</v>
      </c>
      <c r="L39" s="39">
        <f t="shared" si="8"/>
        <v>19.100000000000001</v>
      </c>
      <c r="M39" s="73">
        <f t="shared" si="9"/>
        <v>-4.0201004999999998E-2</v>
      </c>
      <c r="N39" s="82">
        <f t="shared" si="13"/>
        <v>839892003.44279563</v>
      </c>
      <c r="O39" s="78" t="s">
        <v>260</v>
      </c>
      <c r="P39" s="39">
        <f t="shared" si="10"/>
        <v>131</v>
      </c>
      <c r="Q39" s="73">
        <f t="shared" si="11"/>
        <v>1.5503876E-2</v>
      </c>
      <c r="R39" s="82">
        <f t="shared" si="14"/>
        <v>1573271175.2892375</v>
      </c>
    </row>
    <row r="40" spans="1:18" ht="17.25" thickBot="1">
      <c r="A40" s="40" t="s">
        <v>161</v>
      </c>
      <c r="B40" s="11" t="s">
        <v>162</v>
      </c>
      <c r="C40" s="91">
        <v>1745</v>
      </c>
      <c r="D40" s="88">
        <v>-2.2408963600000002E-2</v>
      </c>
      <c r="E40" s="89">
        <v>6187511.3724135198</v>
      </c>
      <c r="F40" s="35"/>
      <c r="G40" s="53" t="s">
        <v>86</v>
      </c>
      <c r="H40" s="37">
        <f t="shared" si="6"/>
        <v>14240</v>
      </c>
      <c r="I40" s="75">
        <f t="shared" si="7"/>
        <v>3.0390738099999998E-2</v>
      </c>
      <c r="J40" s="83">
        <f t="shared" si="12"/>
        <v>51410481.499008209</v>
      </c>
      <c r="K40" s="80" t="s">
        <v>268</v>
      </c>
      <c r="L40" s="37">
        <f t="shared" si="8"/>
        <v>79</v>
      </c>
      <c r="M40" s="75">
        <f t="shared" si="9"/>
        <v>-4.2424242399999999E-2</v>
      </c>
      <c r="N40" s="83">
        <f t="shared" si="13"/>
        <v>121653863.38713455</v>
      </c>
      <c r="O40" s="80" t="s">
        <v>57</v>
      </c>
      <c r="P40" s="37">
        <f t="shared" si="10"/>
        <v>395</v>
      </c>
      <c r="Q40" s="75">
        <f t="shared" si="11"/>
        <v>0</v>
      </c>
      <c r="R40" s="83">
        <f t="shared" si="14"/>
        <v>67814827.305056289</v>
      </c>
    </row>
    <row r="41" spans="1:18">
      <c r="A41" s="40" t="s">
        <v>99</v>
      </c>
      <c r="B41" s="11" t="s">
        <v>100</v>
      </c>
      <c r="C41" s="91">
        <v>7.38</v>
      </c>
      <c r="D41" s="88">
        <v>-2.3809523799999999E-2</v>
      </c>
      <c r="E41" s="89">
        <v>20073649903.063255</v>
      </c>
      <c r="F41" s="35"/>
      <c r="G41" s="52" t="s">
        <v>220</v>
      </c>
      <c r="H41" s="38">
        <f t="shared" si="6"/>
        <v>18.399999999999999</v>
      </c>
      <c r="I41" s="72">
        <f t="shared" si="7"/>
        <v>2.2222222199999999E-2</v>
      </c>
      <c r="J41" s="81">
        <f t="shared" si="12"/>
        <v>2657865152.620266</v>
      </c>
      <c r="K41" s="77" t="s">
        <v>198</v>
      </c>
      <c r="L41" s="38">
        <f t="shared" si="8"/>
        <v>23.4</v>
      </c>
      <c r="M41" s="72">
        <f t="shared" si="9"/>
        <v>-4.4897959199999997E-2</v>
      </c>
      <c r="N41" s="81">
        <f t="shared" si="13"/>
        <v>473599023.278274</v>
      </c>
      <c r="O41" s="77" t="s">
        <v>156</v>
      </c>
      <c r="P41" s="38">
        <f t="shared" si="10"/>
        <v>154</v>
      </c>
      <c r="Q41" s="72">
        <f t="shared" si="11"/>
        <v>0</v>
      </c>
      <c r="R41" s="81">
        <f t="shared" si="14"/>
        <v>377771134.06171662</v>
      </c>
    </row>
    <row r="42" spans="1:18">
      <c r="A42" s="40" t="s">
        <v>199</v>
      </c>
      <c r="B42" s="11" t="s">
        <v>200</v>
      </c>
      <c r="C42" s="91">
        <v>305</v>
      </c>
      <c r="D42" s="88">
        <v>-2.5559105400000001E-2</v>
      </c>
      <c r="E42" s="89">
        <v>12543910.28568789</v>
      </c>
      <c r="F42" s="35"/>
      <c r="G42" s="47" t="s">
        <v>206</v>
      </c>
      <c r="H42" s="39">
        <f t="shared" si="6"/>
        <v>31500</v>
      </c>
      <c r="I42" s="73">
        <f t="shared" si="7"/>
        <v>2.1732079099999999E-2</v>
      </c>
      <c r="J42" s="82">
        <f t="shared" si="12"/>
        <v>689715.62758766999</v>
      </c>
      <c r="K42" s="78" t="s">
        <v>266</v>
      </c>
      <c r="L42" s="39">
        <f t="shared" si="8"/>
        <v>88</v>
      </c>
      <c r="M42" s="73">
        <f t="shared" si="9"/>
        <v>-4.55531453E-2</v>
      </c>
      <c r="N42" s="82">
        <f t="shared" si="13"/>
        <v>65032456.310953617</v>
      </c>
      <c r="O42" s="78" t="s">
        <v>282</v>
      </c>
      <c r="P42" s="39">
        <f t="shared" si="10"/>
        <v>151</v>
      </c>
      <c r="Q42" s="73">
        <f t="shared" si="11"/>
        <v>0</v>
      </c>
      <c r="R42" s="82">
        <f t="shared" si="14"/>
        <v>100236104.07215048</v>
      </c>
    </row>
    <row r="43" spans="1:18">
      <c r="A43" s="40" t="s">
        <v>175</v>
      </c>
      <c r="B43" s="11" t="s">
        <v>176</v>
      </c>
      <c r="C43" s="91">
        <v>2030</v>
      </c>
      <c r="D43" s="88">
        <v>-2.6378896900000001E-2</v>
      </c>
      <c r="E43" s="89">
        <v>2770309.7671036101</v>
      </c>
      <c r="F43" s="35"/>
      <c r="G43" s="47" t="s">
        <v>226</v>
      </c>
      <c r="H43" s="39">
        <f t="shared" si="6"/>
        <v>446</v>
      </c>
      <c r="I43" s="73">
        <f t="shared" si="7"/>
        <v>2.0594965699999999E-2</v>
      </c>
      <c r="J43" s="82">
        <f t="shared" si="12"/>
        <v>104379599.81472524</v>
      </c>
      <c r="K43" s="78" t="s">
        <v>65</v>
      </c>
      <c r="L43" s="39">
        <f t="shared" si="8"/>
        <v>61.6</v>
      </c>
      <c r="M43" s="73">
        <f t="shared" si="9"/>
        <v>-4.6439628500000003E-2</v>
      </c>
      <c r="N43" s="82">
        <f t="shared" si="13"/>
        <v>92270667.10971342</v>
      </c>
      <c r="O43" s="78" t="s">
        <v>216</v>
      </c>
      <c r="P43" s="39">
        <f t="shared" si="10"/>
        <v>438</v>
      </c>
      <c r="Q43" s="73">
        <f t="shared" si="11"/>
        <v>-1.12866817E-2</v>
      </c>
      <c r="R43" s="82">
        <f t="shared" si="14"/>
        <v>17192659.376940109</v>
      </c>
    </row>
    <row r="44" spans="1:18">
      <c r="A44" s="40" t="s">
        <v>79</v>
      </c>
      <c r="B44" s="11" t="s">
        <v>80</v>
      </c>
      <c r="C44" s="91">
        <v>1465</v>
      </c>
      <c r="D44" s="88">
        <v>-2.6578073099999999E-2</v>
      </c>
      <c r="E44" s="89">
        <v>5227614.6844521603</v>
      </c>
      <c r="F44" s="35"/>
      <c r="G44" s="47" t="s">
        <v>210</v>
      </c>
      <c r="H44" s="39">
        <f t="shared" si="6"/>
        <v>171</v>
      </c>
      <c r="I44" s="73">
        <f t="shared" si="7"/>
        <v>1.7857142900000001E-2</v>
      </c>
      <c r="J44" s="82">
        <f t="shared" si="12"/>
        <v>142642306.33189583</v>
      </c>
      <c r="K44" s="78" t="s">
        <v>222</v>
      </c>
      <c r="L44" s="39">
        <f t="shared" si="8"/>
        <v>15.7</v>
      </c>
      <c r="M44" s="73">
        <f t="shared" si="9"/>
        <v>-4.8484848499999997E-2</v>
      </c>
      <c r="N44" s="82">
        <f t="shared" si="13"/>
        <v>234789579.15731609</v>
      </c>
      <c r="O44" s="78" t="s">
        <v>238</v>
      </c>
      <c r="P44" s="39">
        <f t="shared" si="10"/>
        <v>243</v>
      </c>
      <c r="Q44" s="73">
        <f t="shared" si="11"/>
        <v>-1.2195121999999999E-2</v>
      </c>
      <c r="R44" s="82">
        <f t="shared" si="14"/>
        <v>19256372.502526872</v>
      </c>
    </row>
    <row r="45" spans="1:18">
      <c r="A45" s="40" t="s">
        <v>93</v>
      </c>
      <c r="B45" s="11" t="s">
        <v>94</v>
      </c>
      <c r="C45" s="91">
        <v>123200</v>
      </c>
      <c r="D45" s="88">
        <v>-2.6856240100000001E-2</v>
      </c>
      <c r="E45" s="89">
        <v>809027.90899359004</v>
      </c>
      <c r="F45" s="35"/>
      <c r="G45" s="47" t="s">
        <v>260</v>
      </c>
      <c r="H45" s="44">
        <f t="shared" si="6"/>
        <v>131</v>
      </c>
      <c r="I45" s="74">
        <f t="shared" si="7"/>
        <v>1.5503876E-2</v>
      </c>
      <c r="J45" s="86">
        <f t="shared" si="12"/>
        <v>1573271175.2892375</v>
      </c>
      <c r="K45" s="79" t="s">
        <v>228</v>
      </c>
      <c r="L45" s="44">
        <f t="shared" si="8"/>
        <v>15.4</v>
      </c>
      <c r="M45" s="74">
        <f t="shared" si="9"/>
        <v>-4.9382716E-2</v>
      </c>
      <c r="N45" s="86">
        <f t="shared" si="13"/>
        <v>641040889.23240316</v>
      </c>
      <c r="O45" s="79" t="s">
        <v>232</v>
      </c>
      <c r="P45" s="44">
        <f t="shared" si="10"/>
        <v>151</v>
      </c>
      <c r="Q45" s="74">
        <f t="shared" si="11"/>
        <v>-1.30718954E-2</v>
      </c>
      <c r="R45" s="86">
        <f t="shared" si="14"/>
        <v>72464061.377674907</v>
      </c>
    </row>
    <row r="46" spans="1:18">
      <c r="A46" s="40" t="s">
        <v>62</v>
      </c>
      <c r="B46" s="11" t="s">
        <v>63</v>
      </c>
      <c r="C46" s="91">
        <v>121100</v>
      </c>
      <c r="D46" s="88">
        <v>-2.6918441099999999E-2</v>
      </c>
      <c r="E46" s="89">
        <v>774671.45327731001</v>
      </c>
      <c r="F46" s="35"/>
      <c r="G46" s="49" t="s">
        <v>126</v>
      </c>
      <c r="H46" s="39">
        <f t="shared" si="6"/>
        <v>49.7</v>
      </c>
      <c r="I46" s="73">
        <f t="shared" si="7"/>
        <v>2.0161290000000002E-3</v>
      </c>
      <c r="J46" s="95">
        <f t="shared" si="12"/>
        <v>495343034.2513895</v>
      </c>
      <c r="K46" s="78" t="s">
        <v>152</v>
      </c>
      <c r="L46" s="39">
        <f t="shared" si="8"/>
        <v>37.9</v>
      </c>
      <c r="M46" s="73">
        <f t="shared" si="9"/>
        <v>-5.2499999999999998E-2</v>
      </c>
      <c r="N46" s="95">
        <f t="shared" si="13"/>
        <v>416673587.46833891</v>
      </c>
      <c r="O46" s="78" t="s">
        <v>278</v>
      </c>
      <c r="P46" s="39">
        <f t="shared" si="10"/>
        <v>139</v>
      </c>
      <c r="Q46" s="73">
        <f t="shared" si="11"/>
        <v>-1.4184397200000001E-2</v>
      </c>
      <c r="R46" s="95">
        <f t="shared" si="14"/>
        <v>26504988.700772692</v>
      </c>
    </row>
    <row r="47" spans="1:18">
      <c r="A47" s="40" t="s">
        <v>129</v>
      </c>
      <c r="B47" s="11" t="s">
        <v>130</v>
      </c>
      <c r="C47" s="91">
        <v>392550</v>
      </c>
      <c r="D47" s="88">
        <v>-2.7016978600000002E-2</v>
      </c>
      <c r="E47" s="89">
        <v>247090.99886088</v>
      </c>
      <c r="F47" s="35"/>
      <c r="G47" s="47" t="s">
        <v>57</v>
      </c>
      <c r="H47" s="39">
        <f t="shared" si="6"/>
        <v>395</v>
      </c>
      <c r="I47" s="73">
        <f t="shared" si="7"/>
        <v>0</v>
      </c>
      <c r="J47" s="82">
        <f t="shared" si="12"/>
        <v>67814827.305056289</v>
      </c>
      <c r="K47" s="78" t="s">
        <v>218</v>
      </c>
      <c r="L47" s="39">
        <f t="shared" si="8"/>
        <v>23</v>
      </c>
      <c r="M47" s="73">
        <f t="shared" si="9"/>
        <v>-5.3497942399999998E-2</v>
      </c>
      <c r="N47" s="82">
        <f t="shared" si="13"/>
        <v>302088517.90899241</v>
      </c>
      <c r="O47" s="78" t="s">
        <v>120</v>
      </c>
      <c r="P47" s="39">
        <f t="shared" si="10"/>
        <v>199</v>
      </c>
      <c r="Q47" s="73">
        <f t="shared" si="11"/>
        <v>-1.97044335E-2</v>
      </c>
      <c r="R47" s="82">
        <f t="shared" si="14"/>
        <v>49627546.767749861</v>
      </c>
    </row>
    <row r="48" spans="1:18">
      <c r="A48" s="40" t="s">
        <v>133</v>
      </c>
      <c r="B48" s="11" t="s">
        <v>134</v>
      </c>
      <c r="C48" s="91">
        <v>142</v>
      </c>
      <c r="D48" s="88">
        <v>-2.73972603E-2</v>
      </c>
      <c r="E48" s="89">
        <v>80309285.625048608</v>
      </c>
      <c r="F48" s="35"/>
      <c r="G48" s="47" t="s">
        <v>156</v>
      </c>
      <c r="H48" s="39">
        <f t="shared" si="6"/>
        <v>154</v>
      </c>
      <c r="I48" s="73">
        <f t="shared" si="7"/>
        <v>0</v>
      </c>
      <c r="J48" s="82">
        <f t="shared" si="12"/>
        <v>377771134.06171662</v>
      </c>
      <c r="K48" s="78" t="s">
        <v>172</v>
      </c>
      <c r="L48" s="39">
        <f t="shared" si="8"/>
        <v>22.5</v>
      </c>
      <c r="M48" s="73">
        <f t="shared" si="9"/>
        <v>-6.25E-2</v>
      </c>
      <c r="N48" s="82">
        <f t="shared" si="13"/>
        <v>412760527.1570465</v>
      </c>
      <c r="O48" s="78" t="s">
        <v>128</v>
      </c>
      <c r="P48" s="39">
        <f t="shared" si="10"/>
        <v>585</v>
      </c>
      <c r="Q48" s="73">
        <f t="shared" si="11"/>
        <v>-2.1739130400000001E-2</v>
      </c>
      <c r="R48" s="82">
        <f t="shared" si="14"/>
        <v>30346667.619327769</v>
      </c>
    </row>
    <row r="49" spans="1:18">
      <c r="A49" s="40" t="s">
        <v>235</v>
      </c>
      <c r="B49" s="11" t="s">
        <v>236</v>
      </c>
      <c r="C49" s="91">
        <v>70.7</v>
      </c>
      <c r="D49" s="88">
        <v>-2.7510316399999998E-2</v>
      </c>
      <c r="E49" s="89">
        <v>1160036204.7035651</v>
      </c>
      <c r="F49" s="35"/>
      <c r="G49" s="47" t="s">
        <v>282</v>
      </c>
      <c r="H49" s="39">
        <f t="shared" si="6"/>
        <v>151</v>
      </c>
      <c r="I49" s="73">
        <f t="shared" si="7"/>
        <v>0</v>
      </c>
      <c r="J49" s="82">
        <f t="shared" si="12"/>
        <v>100236104.07215048</v>
      </c>
      <c r="K49" s="78" t="s">
        <v>186</v>
      </c>
      <c r="L49" s="39">
        <f t="shared" si="8"/>
        <v>22.4</v>
      </c>
      <c r="M49" s="73">
        <f t="shared" si="9"/>
        <v>-7.4380165299999995E-2</v>
      </c>
      <c r="N49" s="82">
        <f t="shared" si="13"/>
        <v>669468225.55773163</v>
      </c>
      <c r="O49" s="78" t="s">
        <v>250</v>
      </c>
      <c r="P49" s="39">
        <f t="shared" si="10"/>
        <v>177</v>
      </c>
      <c r="Q49" s="73">
        <f t="shared" si="11"/>
        <v>-2.2099447500000001E-2</v>
      </c>
      <c r="R49" s="82">
        <f t="shared" si="14"/>
        <v>27395724.975761291</v>
      </c>
    </row>
    <row r="50" spans="1:18" ht="17.25" thickBot="1">
      <c r="A50" s="40" t="s">
        <v>195</v>
      </c>
      <c r="B50" s="11" t="s">
        <v>196</v>
      </c>
      <c r="C50" s="91">
        <v>17.600000000000001</v>
      </c>
      <c r="D50" s="88">
        <v>-2.7624309400000002E-2</v>
      </c>
      <c r="E50" s="89">
        <v>391735004.34278429</v>
      </c>
      <c r="F50" s="35"/>
      <c r="G50" s="53" t="s">
        <v>90</v>
      </c>
      <c r="H50" s="37">
        <f t="shared" si="6"/>
        <v>413500</v>
      </c>
      <c r="I50" s="75">
        <f t="shared" si="7"/>
        <v>-1.2090439999999999E-4</v>
      </c>
      <c r="J50" s="83">
        <f t="shared" si="12"/>
        <v>41938.20278367</v>
      </c>
      <c r="K50" s="80"/>
      <c r="L50" s="37" t="str">
        <f t="shared" si="8"/>
        <v/>
      </c>
      <c r="M50" s="75" t="str">
        <f t="shared" si="9"/>
        <v/>
      </c>
      <c r="N50" s="83" t="str">
        <f t="shared" si="13"/>
        <v/>
      </c>
      <c r="O50" s="80" t="s">
        <v>200</v>
      </c>
      <c r="P50" s="37">
        <f t="shared" si="10"/>
        <v>305</v>
      </c>
      <c r="Q50" s="75">
        <f t="shared" si="11"/>
        <v>-2.5559105400000001E-2</v>
      </c>
      <c r="R50" s="83">
        <f t="shared" si="14"/>
        <v>12543910.28568789</v>
      </c>
    </row>
    <row r="51" spans="1:18">
      <c r="A51" s="40" t="s">
        <v>255</v>
      </c>
      <c r="B51" s="11" t="s">
        <v>256</v>
      </c>
      <c r="C51" s="91">
        <v>240</v>
      </c>
      <c r="D51" s="88">
        <v>-2.8340081E-2</v>
      </c>
      <c r="E51" s="89">
        <v>9554608.4532734901</v>
      </c>
      <c r="F51" s="35"/>
    </row>
    <row r="52" spans="1:18" ht="17.25" thickBot="1">
      <c r="A52" s="40" t="s">
        <v>149</v>
      </c>
      <c r="B52" s="11" t="s">
        <v>150</v>
      </c>
      <c r="C52" s="91">
        <v>4880</v>
      </c>
      <c r="D52" s="88">
        <v>-2.8855721399999999E-2</v>
      </c>
      <c r="E52" s="89">
        <v>4575534.7311121896</v>
      </c>
      <c r="F52" s="35"/>
    </row>
    <row r="53" spans="1:18" ht="17.25" thickBot="1">
      <c r="A53" s="40" t="s">
        <v>77</v>
      </c>
      <c r="B53" s="11" t="s">
        <v>78</v>
      </c>
      <c r="C53" s="91">
        <v>1576500</v>
      </c>
      <c r="D53" s="88">
        <v>-2.8949799799999999E-2</v>
      </c>
      <c r="E53" s="89">
        <v>166479.49717751</v>
      </c>
      <c r="F53" s="35"/>
      <c r="G53" s="249" t="s">
        <v>285</v>
      </c>
      <c r="H53" s="250"/>
      <c r="I53" s="250"/>
      <c r="J53" s="251"/>
      <c r="K53" s="249" t="s">
        <v>288</v>
      </c>
      <c r="L53" s="250"/>
      <c r="M53" s="250"/>
      <c r="N53" s="251"/>
      <c r="O53" s="249" t="s">
        <v>289</v>
      </c>
      <c r="P53" s="250"/>
      <c r="Q53" s="250"/>
      <c r="R53" s="251"/>
    </row>
    <row r="54" spans="1:18" ht="17.25" thickBot="1">
      <c r="A54" s="40" t="s">
        <v>257</v>
      </c>
      <c r="B54" s="11" t="s">
        <v>258</v>
      </c>
      <c r="C54" s="91">
        <v>592</v>
      </c>
      <c r="D54" s="88">
        <v>-2.9508196699999999E-2</v>
      </c>
      <c r="E54" s="89">
        <v>8061148.9498208398</v>
      </c>
      <c r="F54" s="35"/>
      <c r="G54" s="314" t="s">
        <v>55</v>
      </c>
      <c r="H54" s="335">
        <f ca="1">NOW()</f>
        <v>44332.00507939815</v>
      </c>
      <c r="I54" s="336"/>
      <c r="J54" s="337"/>
      <c r="K54" s="326" t="s">
        <v>55</v>
      </c>
      <c r="L54" s="335">
        <f ca="1">NOW()</f>
        <v>44332.00507939815</v>
      </c>
      <c r="M54" s="336"/>
      <c r="N54" s="337"/>
      <c r="O54" s="326" t="s">
        <v>55</v>
      </c>
      <c r="P54" s="335">
        <f ca="1">NOW()</f>
        <v>44332.00507939815</v>
      </c>
      <c r="Q54" s="336"/>
      <c r="R54" s="337"/>
    </row>
    <row r="55" spans="1:18" ht="17.25" thickBot="1">
      <c r="A55" s="40" t="s">
        <v>131</v>
      </c>
      <c r="B55" s="11" t="s">
        <v>132</v>
      </c>
      <c r="C55" s="91">
        <v>224</v>
      </c>
      <c r="D55" s="88">
        <v>-3.0303030299999999E-2</v>
      </c>
      <c r="E55" s="89">
        <v>396637574.33481401</v>
      </c>
      <c r="F55" s="35"/>
      <c r="G55" s="311"/>
      <c r="H55" s="51" t="s">
        <v>58</v>
      </c>
      <c r="I55" s="69" t="s">
        <v>59</v>
      </c>
      <c r="J55" s="65" t="s">
        <v>294</v>
      </c>
      <c r="K55" s="266"/>
      <c r="L55" s="51" t="s">
        <v>58</v>
      </c>
      <c r="M55" s="69" t="s">
        <v>59</v>
      </c>
      <c r="N55" s="65" t="s">
        <v>294</v>
      </c>
      <c r="O55" s="266"/>
      <c r="P55" s="51" t="s">
        <v>58</v>
      </c>
      <c r="Q55" s="69" t="s">
        <v>59</v>
      </c>
      <c r="R55" s="65" t="s">
        <v>294</v>
      </c>
    </row>
    <row r="56" spans="1:18">
      <c r="A56" s="40" t="s">
        <v>157</v>
      </c>
      <c r="B56" s="11" t="s">
        <v>158</v>
      </c>
      <c r="C56" s="91">
        <v>8540</v>
      </c>
      <c r="D56" s="88">
        <v>-3.0646992099999999E-2</v>
      </c>
      <c r="E56" s="89">
        <v>751989.04590827995</v>
      </c>
      <c r="F56" s="35"/>
      <c r="G56" s="55" t="s">
        <v>280</v>
      </c>
      <c r="H56" s="38">
        <f t="shared" ref="H56:H75" si="15">_xlfn.IFNA(VLOOKUP(G56, $B$2:$D$200, 2, FALSE), "")</f>
        <v>1480</v>
      </c>
      <c r="I56" s="72">
        <f t="shared" ref="I56:I65" si="16">_xlfn.IFNA(VLOOKUP(G56, $B$2:$D$200, 3, FALSE), "")</f>
        <v>-5.1282051299999999E-2</v>
      </c>
      <c r="J56" s="81">
        <f>_xlfn.IFNA(VLOOKUP(G56, $B$2:$E$200, 4, FALSE), "")</f>
        <v>4349066.3514020396</v>
      </c>
      <c r="K56" s="77" t="s">
        <v>220</v>
      </c>
      <c r="L56" s="38">
        <f t="shared" ref="L56:L75" si="17">_xlfn.IFNA(VLOOKUP(K56, $B$2:$D$200, 2, FALSE), "")</f>
        <v>18.399999999999999</v>
      </c>
      <c r="M56" s="72">
        <f t="shared" ref="M56:M75" si="18">_xlfn.IFNA(VLOOKUP(K56, $B$2:$D$200, 3, FALSE), "")</f>
        <v>2.2222222199999999E-2</v>
      </c>
      <c r="N56" s="81">
        <f>_xlfn.IFNA(VLOOKUP(K56, $B$2:$E$200, 4, FALSE), "")</f>
        <v>2657865152.620266</v>
      </c>
      <c r="O56" s="77" t="s">
        <v>132</v>
      </c>
      <c r="P56" s="38">
        <f t="shared" ref="P56:P75" si="19">_xlfn.IFNA(VLOOKUP(O56, $B$2:$D$200, 2, FALSE), "")</f>
        <v>224</v>
      </c>
      <c r="Q56" s="72">
        <f t="shared" ref="Q56:Q75" si="20">_xlfn.IFNA(VLOOKUP(O56, $B$2:$D$200, 3, FALSE), "")</f>
        <v>-3.0303030299999999E-2</v>
      </c>
      <c r="R56" s="81">
        <f>_xlfn.IFNA(VLOOKUP(O56, $B$2:$E$200, 4, FALSE), "")</f>
        <v>396637574.33481401</v>
      </c>
    </row>
    <row r="57" spans="1:18">
      <c r="A57" s="40" t="s">
        <v>103</v>
      </c>
      <c r="B57" s="11" t="s">
        <v>104</v>
      </c>
      <c r="C57" s="91">
        <v>2615</v>
      </c>
      <c r="D57" s="88">
        <v>-3.1481481499999998E-2</v>
      </c>
      <c r="E57" s="89">
        <v>12139877.198473699</v>
      </c>
      <c r="F57" s="35"/>
      <c r="G57" s="56" t="s">
        <v>166</v>
      </c>
      <c r="H57" s="39">
        <f t="shared" si="15"/>
        <v>2100</v>
      </c>
      <c r="I57" s="73">
        <f t="shared" si="16"/>
        <v>-5.1918735899999999E-2</v>
      </c>
      <c r="J57" s="82">
        <f t="shared" ref="J57:J75" si="21">_xlfn.IFNA(VLOOKUP(G57, $B$2:$E$200, 4, FALSE), "")</f>
        <v>1639598.04120825</v>
      </c>
      <c r="K57" s="78" t="s">
        <v>126</v>
      </c>
      <c r="L57" s="39">
        <f t="shared" si="17"/>
        <v>49.7</v>
      </c>
      <c r="M57" s="73">
        <f t="shared" si="18"/>
        <v>2.0161290000000002E-3</v>
      </c>
      <c r="N57" s="82">
        <f t="shared" ref="N57:N75" si="22">_xlfn.IFNA(VLOOKUP(K57, $B$2:$E$200, 4, FALSE), "")</f>
        <v>495343034.2513895</v>
      </c>
      <c r="O57" s="78" t="s">
        <v>112</v>
      </c>
      <c r="P57" s="39">
        <f t="shared" si="19"/>
        <v>226</v>
      </c>
      <c r="Q57" s="73">
        <f t="shared" si="20"/>
        <v>-3.4188034200000002E-2</v>
      </c>
      <c r="R57" s="82">
        <f t="shared" ref="R57:R75" si="23">_xlfn.IFNA(VLOOKUP(O57, $B$2:$E$200, 4, FALSE), "")</f>
        <v>46547070.56972038</v>
      </c>
    </row>
    <row r="58" spans="1:18">
      <c r="A58" s="40" t="s">
        <v>187</v>
      </c>
      <c r="B58" s="11" t="s">
        <v>188</v>
      </c>
      <c r="C58" s="91">
        <v>26240</v>
      </c>
      <c r="D58" s="88">
        <v>-3.1734317300000002E-2</v>
      </c>
      <c r="E58" s="89">
        <v>7831522.12818792</v>
      </c>
      <c r="F58" s="35"/>
      <c r="G58" s="56" t="s">
        <v>234</v>
      </c>
      <c r="H58" s="39">
        <f t="shared" si="15"/>
        <v>1095</v>
      </c>
      <c r="I58" s="73">
        <f t="shared" si="16"/>
        <v>-5.19480519E-2</v>
      </c>
      <c r="J58" s="82">
        <f t="shared" si="21"/>
        <v>2887194.97171616</v>
      </c>
      <c r="K58" s="78" t="s">
        <v>100</v>
      </c>
      <c r="L58" s="39">
        <f t="shared" si="17"/>
        <v>7.38</v>
      </c>
      <c r="M58" s="73">
        <f t="shared" si="18"/>
        <v>-2.3809523799999999E-2</v>
      </c>
      <c r="N58" s="82">
        <f t="shared" si="22"/>
        <v>20073649903.063255</v>
      </c>
      <c r="O58" s="78" t="s">
        <v>284</v>
      </c>
      <c r="P58" s="39">
        <f t="shared" si="19"/>
        <v>407</v>
      </c>
      <c r="Q58" s="73">
        <f t="shared" si="20"/>
        <v>-3.5545023699999997E-2</v>
      </c>
      <c r="R58" s="82">
        <f t="shared" si="23"/>
        <v>12575861.66561681</v>
      </c>
    </row>
    <row r="59" spans="1:18">
      <c r="A59" s="40" t="s">
        <v>109</v>
      </c>
      <c r="B59" s="11" t="s">
        <v>110</v>
      </c>
      <c r="C59" s="91">
        <v>2560</v>
      </c>
      <c r="D59" s="88">
        <v>-3.2136105900000003E-2</v>
      </c>
      <c r="E59" s="89">
        <v>2033137.38322937</v>
      </c>
      <c r="F59" s="35"/>
      <c r="G59" s="56" t="s">
        <v>152</v>
      </c>
      <c r="H59" s="39">
        <f t="shared" si="15"/>
        <v>37.9</v>
      </c>
      <c r="I59" s="73">
        <f t="shared" si="16"/>
        <v>-5.2499999999999998E-2</v>
      </c>
      <c r="J59" s="82">
        <f t="shared" si="21"/>
        <v>416673587.46833891</v>
      </c>
      <c r="K59" s="78" t="s">
        <v>236</v>
      </c>
      <c r="L59" s="39">
        <f t="shared" si="17"/>
        <v>70.7</v>
      </c>
      <c r="M59" s="73">
        <f t="shared" si="18"/>
        <v>-2.7510316399999998E-2</v>
      </c>
      <c r="N59" s="82">
        <f t="shared" si="22"/>
        <v>1160036204.7035651</v>
      </c>
      <c r="O59" s="78" t="s">
        <v>122</v>
      </c>
      <c r="P59" s="39">
        <f t="shared" si="19"/>
        <v>102</v>
      </c>
      <c r="Q59" s="73">
        <f t="shared" si="20"/>
        <v>-3.7735849100000003E-2</v>
      </c>
      <c r="R59" s="82">
        <f t="shared" si="23"/>
        <v>82339193.967049837</v>
      </c>
    </row>
    <row r="60" spans="1:18">
      <c r="A60" s="40" t="s">
        <v>253</v>
      </c>
      <c r="B60" s="11" t="s">
        <v>254</v>
      </c>
      <c r="C60" s="91">
        <v>71.7</v>
      </c>
      <c r="D60" s="88">
        <v>-3.2388663999999998E-2</v>
      </c>
      <c r="E60" s="89">
        <v>225734358.63439456</v>
      </c>
      <c r="F60" s="35"/>
      <c r="G60" s="56" t="s">
        <v>218</v>
      </c>
      <c r="H60" s="39">
        <f t="shared" si="15"/>
        <v>23</v>
      </c>
      <c r="I60" s="73">
        <f t="shared" si="16"/>
        <v>-5.3497942399999998E-2</v>
      </c>
      <c r="J60" s="86">
        <f t="shared" si="21"/>
        <v>302088517.90899241</v>
      </c>
      <c r="K60" s="79" t="s">
        <v>196</v>
      </c>
      <c r="L60" s="44">
        <f t="shared" si="17"/>
        <v>17.600000000000001</v>
      </c>
      <c r="M60" s="74">
        <f t="shared" si="18"/>
        <v>-2.7624309400000002E-2</v>
      </c>
      <c r="N60" s="86">
        <f t="shared" si="22"/>
        <v>391735004.34278429</v>
      </c>
      <c r="O60" s="79" t="s">
        <v>142</v>
      </c>
      <c r="P60" s="44">
        <f t="shared" si="19"/>
        <v>405</v>
      </c>
      <c r="Q60" s="74">
        <f t="shared" si="20"/>
        <v>-3.8004750599999998E-2</v>
      </c>
      <c r="R60" s="86">
        <f t="shared" si="23"/>
        <v>15847896.158996491</v>
      </c>
    </row>
    <row r="61" spans="1:18">
      <c r="A61" s="40" t="s">
        <v>153</v>
      </c>
      <c r="B61" s="11" t="s">
        <v>154</v>
      </c>
      <c r="C61" s="91">
        <v>17.600000000000001</v>
      </c>
      <c r="D61" s="88">
        <v>-3.2967033E-2</v>
      </c>
      <c r="E61" s="89">
        <v>526128161.59523439</v>
      </c>
      <c r="F61" s="35"/>
      <c r="G61" s="60" t="s">
        <v>174</v>
      </c>
      <c r="H61" s="45">
        <f t="shared" si="15"/>
        <v>243</v>
      </c>
      <c r="I61" s="76">
        <f t="shared" si="16"/>
        <v>-5.4474708199999999E-2</v>
      </c>
      <c r="J61" s="95">
        <f t="shared" si="21"/>
        <v>25224391.41620988</v>
      </c>
      <c r="K61" s="78" t="s">
        <v>254</v>
      </c>
      <c r="L61" s="39">
        <f t="shared" si="17"/>
        <v>71.7</v>
      </c>
      <c r="M61" s="73">
        <f t="shared" si="18"/>
        <v>-3.2388663999999998E-2</v>
      </c>
      <c r="N61" s="95">
        <f t="shared" si="22"/>
        <v>225734358.63439456</v>
      </c>
      <c r="O61" s="78" t="s">
        <v>270</v>
      </c>
      <c r="P61" s="39">
        <f t="shared" si="19"/>
        <v>500</v>
      </c>
      <c r="Q61" s="73">
        <f t="shared" si="20"/>
        <v>-3.8461538500000003E-2</v>
      </c>
      <c r="R61" s="95">
        <f t="shared" si="23"/>
        <v>10645668.33615436</v>
      </c>
    </row>
    <row r="62" spans="1:18">
      <c r="A62" s="40" t="s">
        <v>111</v>
      </c>
      <c r="B62" s="11" t="s">
        <v>112</v>
      </c>
      <c r="C62" s="91">
        <v>226</v>
      </c>
      <c r="D62" s="88">
        <v>-3.4188034200000002E-2</v>
      </c>
      <c r="E62" s="89">
        <v>46547070.56972038</v>
      </c>
      <c r="F62" s="35"/>
      <c r="G62" s="56" t="s">
        <v>262</v>
      </c>
      <c r="H62" s="39">
        <f t="shared" si="15"/>
        <v>1105</v>
      </c>
      <c r="I62" s="73">
        <f t="shared" si="16"/>
        <v>-5.5555555600000001E-2</v>
      </c>
      <c r="J62" s="82">
        <f t="shared" si="21"/>
        <v>14502538.898750789</v>
      </c>
      <c r="K62" s="78" t="s">
        <v>154</v>
      </c>
      <c r="L62" s="39">
        <f t="shared" si="17"/>
        <v>17.600000000000001</v>
      </c>
      <c r="M62" s="73">
        <f t="shared" si="18"/>
        <v>-3.2967033E-2</v>
      </c>
      <c r="N62" s="82">
        <f t="shared" si="22"/>
        <v>526128161.59523439</v>
      </c>
      <c r="O62" s="78" t="s">
        <v>212</v>
      </c>
      <c r="P62" s="39">
        <f t="shared" si="19"/>
        <v>123</v>
      </c>
      <c r="Q62" s="73">
        <f t="shared" si="20"/>
        <v>-3.90625E-2</v>
      </c>
      <c r="R62" s="82">
        <f t="shared" si="23"/>
        <v>299496467.05556184</v>
      </c>
    </row>
    <row r="63" spans="1:18">
      <c r="A63" s="40" t="s">
        <v>283</v>
      </c>
      <c r="B63" s="11" t="s">
        <v>284</v>
      </c>
      <c r="C63" s="91">
        <v>407</v>
      </c>
      <c r="D63" s="88">
        <v>-3.5545023699999997E-2</v>
      </c>
      <c r="E63" s="89">
        <v>12575861.66561681</v>
      </c>
      <c r="F63" s="35"/>
      <c r="G63" s="56" t="s">
        <v>82</v>
      </c>
      <c r="H63" s="39">
        <f t="shared" si="15"/>
        <v>1360</v>
      </c>
      <c r="I63" s="73">
        <f t="shared" si="16"/>
        <v>-5.5555555600000001E-2</v>
      </c>
      <c r="J63" s="82">
        <f t="shared" si="21"/>
        <v>1418424.4373436901</v>
      </c>
      <c r="K63" s="78" t="s">
        <v>72</v>
      </c>
      <c r="L63" s="39">
        <f t="shared" si="17"/>
        <v>31.2</v>
      </c>
      <c r="M63" s="73">
        <f t="shared" si="18"/>
        <v>-3.7037037000000002E-2</v>
      </c>
      <c r="N63" s="82">
        <f t="shared" si="22"/>
        <v>66073535.463473022</v>
      </c>
      <c r="O63" s="78" t="s">
        <v>148</v>
      </c>
      <c r="P63" s="39">
        <f t="shared" si="19"/>
        <v>170</v>
      </c>
      <c r="Q63" s="73">
        <f t="shared" si="20"/>
        <v>-3.9548022600000003E-2</v>
      </c>
      <c r="R63" s="82">
        <f t="shared" si="23"/>
        <v>40321764.471313007</v>
      </c>
    </row>
    <row r="64" spans="1:18">
      <c r="A64" s="40" t="s">
        <v>97</v>
      </c>
      <c r="B64" s="11" t="s">
        <v>98</v>
      </c>
      <c r="C64" s="91">
        <v>7600</v>
      </c>
      <c r="D64" s="88">
        <v>-3.6755386600000002E-2</v>
      </c>
      <c r="E64" s="89">
        <v>3016534.0161237102</v>
      </c>
      <c r="F64" s="35"/>
      <c r="G64" s="56" t="s">
        <v>146</v>
      </c>
      <c r="H64" s="39">
        <f t="shared" si="15"/>
        <v>15790</v>
      </c>
      <c r="I64" s="73">
        <f t="shared" si="16"/>
        <v>-5.7875894999999997E-2</v>
      </c>
      <c r="J64" s="82">
        <f t="shared" si="21"/>
        <v>602078.46405459999</v>
      </c>
      <c r="K64" s="78" t="s">
        <v>214</v>
      </c>
      <c r="L64" s="39">
        <f t="shared" si="17"/>
        <v>19.100000000000001</v>
      </c>
      <c r="M64" s="73">
        <f t="shared" si="18"/>
        <v>-4.0201004999999998E-2</v>
      </c>
      <c r="N64" s="82">
        <f t="shared" si="22"/>
        <v>839892003.44279563</v>
      </c>
      <c r="O64" s="78" t="s">
        <v>136</v>
      </c>
      <c r="P64" s="39">
        <f t="shared" si="19"/>
        <v>235</v>
      </c>
      <c r="Q64" s="73">
        <f t="shared" si="20"/>
        <v>-4.08163265E-2</v>
      </c>
      <c r="R64" s="82">
        <f t="shared" si="23"/>
        <v>15031021.840432771</v>
      </c>
    </row>
    <row r="65" spans="1:18" ht="17.25" thickBot="1">
      <c r="A65" s="40" t="s">
        <v>71</v>
      </c>
      <c r="B65" s="11" t="s">
        <v>72</v>
      </c>
      <c r="C65" s="91">
        <v>31.2</v>
      </c>
      <c r="D65" s="88">
        <v>-3.7037037000000002E-2</v>
      </c>
      <c r="E65" s="89">
        <v>66073535.463473022</v>
      </c>
      <c r="F65" s="35"/>
      <c r="G65" s="57" t="s">
        <v>242</v>
      </c>
      <c r="H65" s="37">
        <f t="shared" si="15"/>
        <v>8630</v>
      </c>
      <c r="I65" s="75">
        <f t="shared" si="16"/>
        <v>-5.9400544999999999E-2</v>
      </c>
      <c r="J65" s="83">
        <f t="shared" si="21"/>
        <v>4254408.7553563202</v>
      </c>
      <c r="K65" s="80" t="s">
        <v>268</v>
      </c>
      <c r="L65" s="37">
        <f t="shared" si="17"/>
        <v>79</v>
      </c>
      <c r="M65" s="75">
        <f t="shared" si="18"/>
        <v>-4.2424242399999999E-2</v>
      </c>
      <c r="N65" s="83">
        <f t="shared" si="22"/>
        <v>121653863.38713455</v>
      </c>
      <c r="O65" s="80" t="s">
        <v>202</v>
      </c>
      <c r="P65" s="37">
        <f t="shared" si="19"/>
        <v>163</v>
      </c>
      <c r="Q65" s="75">
        <f t="shared" si="20"/>
        <v>-4.1176470600000001E-2</v>
      </c>
      <c r="R65" s="83">
        <f t="shared" si="23"/>
        <v>67675728.055512086</v>
      </c>
    </row>
    <row r="66" spans="1:18">
      <c r="A66" s="40" t="s">
        <v>273</v>
      </c>
      <c r="B66" s="11" t="s">
        <v>274</v>
      </c>
      <c r="C66" s="91">
        <v>7510</v>
      </c>
      <c r="D66" s="88">
        <v>-3.71794872E-2</v>
      </c>
      <c r="E66" s="89">
        <v>267765.40908214002</v>
      </c>
      <c r="F66" s="35"/>
      <c r="G66" s="56" t="s">
        <v>208</v>
      </c>
      <c r="H66" s="38">
        <f t="shared" si="15"/>
        <v>436</v>
      </c>
      <c r="I66" s="72">
        <f t="shared" ref="I66:I75" si="24">_xlfn.IFNA(VLOOKUP(G66, $B$2:$D$200, 3, FALSE), "")</f>
        <v>-6.0344827599999998E-2</v>
      </c>
      <c r="J66" s="81">
        <f t="shared" si="21"/>
        <v>89436106.252692655</v>
      </c>
      <c r="K66" s="77" t="s">
        <v>198</v>
      </c>
      <c r="L66" s="38">
        <f t="shared" si="17"/>
        <v>23.4</v>
      </c>
      <c r="M66" s="72">
        <f t="shared" si="18"/>
        <v>-4.4897959199999997E-2</v>
      </c>
      <c r="N66" s="81">
        <f t="shared" si="22"/>
        <v>473599023.278274</v>
      </c>
      <c r="O66" s="77" t="s">
        <v>192</v>
      </c>
      <c r="P66" s="38">
        <f t="shared" si="19"/>
        <v>996</v>
      </c>
      <c r="Q66" s="72">
        <f t="shared" si="20"/>
        <v>-4.2307692299999998E-2</v>
      </c>
      <c r="R66" s="81">
        <f t="shared" si="23"/>
        <v>3973332.6992529999</v>
      </c>
    </row>
    <row r="67" spans="1:18">
      <c r="A67" s="40" t="s">
        <v>121</v>
      </c>
      <c r="B67" s="11" t="s">
        <v>122</v>
      </c>
      <c r="C67" s="91">
        <v>102</v>
      </c>
      <c r="D67" s="88">
        <v>-3.7735849100000003E-2</v>
      </c>
      <c r="E67" s="89">
        <v>82339193.967049837</v>
      </c>
      <c r="F67" s="35"/>
      <c r="G67" s="56" t="s">
        <v>276</v>
      </c>
      <c r="H67" s="39">
        <f t="shared" si="15"/>
        <v>4280</v>
      </c>
      <c r="I67" s="73">
        <f t="shared" si="24"/>
        <v>-6.1403508799999999E-2</v>
      </c>
      <c r="J67" s="82">
        <f t="shared" si="21"/>
        <v>3576002.7683037701</v>
      </c>
      <c r="K67" s="78" t="s">
        <v>266</v>
      </c>
      <c r="L67" s="39">
        <f t="shared" si="17"/>
        <v>88</v>
      </c>
      <c r="M67" s="73">
        <f t="shared" si="18"/>
        <v>-4.55531453E-2</v>
      </c>
      <c r="N67" s="82">
        <f t="shared" si="22"/>
        <v>65032456.310953617</v>
      </c>
      <c r="O67" s="78" t="s">
        <v>264</v>
      </c>
      <c r="P67" s="39">
        <f t="shared" si="19"/>
        <v>147</v>
      </c>
      <c r="Q67" s="73">
        <f t="shared" si="20"/>
        <v>-4.5454545499999999E-2</v>
      </c>
      <c r="R67" s="82">
        <f t="shared" si="23"/>
        <v>73060247.296256959</v>
      </c>
    </row>
    <row r="68" spans="1:18">
      <c r="A68" s="40" t="s">
        <v>68</v>
      </c>
      <c r="B68" s="11" t="s">
        <v>69</v>
      </c>
      <c r="C68" s="91">
        <v>10380</v>
      </c>
      <c r="D68" s="88">
        <v>-3.7998146400000002E-2</v>
      </c>
      <c r="E68" s="89">
        <v>813624.31428809999</v>
      </c>
      <c r="F68" s="35"/>
      <c r="G68" s="56" t="s">
        <v>172</v>
      </c>
      <c r="H68" s="39">
        <f t="shared" si="15"/>
        <v>22.5</v>
      </c>
      <c r="I68" s="73">
        <f t="shared" si="24"/>
        <v>-6.25E-2</v>
      </c>
      <c r="J68" s="82">
        <f t="shared" si="21"/>
        <v>412760527.1570465</v>
      </c>
      <c r="K68" s="78" t="s">
        <v>65</v>
      </c>
      <c r="L68" s="39">
        <f t="shared" si="17"/>
        <v>61.6</v>
      </c>
      <c r="M68" s="73">
        <f t="shared" si="18"/>
        <v>-4.6439628500000003E-2</v>
      </c>
      <c r="N68" s="82">
        <f t="shared" si="22"/>
        <v>92270667.10971342</v>
      </c>
      <c r="O68" s="78" t="s">
        <v>252</v>
      </c>
      <c r="P68" s="39">
        <f t="shared" si="19"/>
        <v>438</v>
      </c>
      <c r="Q68" s="73">
        <f t="shared" si="20"/>
        <v>-4.5751633999999999E-2</v>
      </c>
      <c r="R68" s="82">
        <f t="shared" si="23"/>
        <v>15012336.66026663</v>
      </c>
    </row>
    <row r="69" spans="1:18">
      <c r="A69" s="40" t="s">
        <v>141</v>
      </c>
      <c r="B69" s="11" t="s">
        <v>142</v>
      </c>
      <c r="C69" s="91">
        <v>405</v>
      </c>
      <c r="D69" s="88">
        <v>-3.8004750599999998E-2</v>
      </c>
      <c r="E69" s="89">
        <v>15847896.158996491</v>
      </c>
      <c r="F69" s="35"/>
      <c r="G69" s="56" t="s">
        <v>204</v>
      </c>
      <c r="H69" s="39">
        <f t="shared" si="15"/>
        <v>6375</v>
      </c>
      <c r="I69" s="73">
        <f t="shared" si="24"/>
        <v>-6.25E-2</v>
      </c>
      <c r="J69" s="82">
        <f t="shared" si="21"/>
        <v>5567396.4726426704</v>
      </c>
      <c r="K69" s="78" t="s">
        <v>222</v>
      </c>
      <c r="L69" s="39">
        <f t="shared" si="17"/>
        <v>15.7</v>
      </c>
      <c r="M69" s="73">
        <f t="shared" si="18"/>
        <v>-4.8484848499999997E-2</v>
      </c>
      <c r="N69" s="82">
        <f t="shared" si="22"/>
        <v>234789579.15731609</v>
      </c>
      <c r="O69" s="78" t="s">
        <v>174</v>
      </c>
      <c r="P69" s="39">
        <f t="shared" si="19"/>
        <v>243</v>
      </c>
      <c r="Q69" s="73">
        <f t="shared" si="20"/>
        <v>-5.4474708199999999E-2</v>
      </c>
      <c r="R69" s="82">
        <f t="shared" si="23"/>
        <v>25224391.41620988</v>
      </c>
    </row>
    <row r="70" spans="1:18">
      <c r="A70" s="40" t="s">
        <v>269</v>
      </c>
      <c r="B70" s="11" t="s">
        <v>270</v>
      </c>
      <c r="C70" s="91">
        <v>500</v>
      </c>
      <c r="D70" s="88">
        <v>-3.8461538500000003E-2</v>
      </c>
      <c r="E70" s="89">
        <v>10645668.33615436</v>
      </c>
      <c r="F70" s="35"/>
      <c r="G70" s="56" t="s">
        <v>54</v>
      </c>
      <c r="H70" s="39">
        <f t="shared" si="15"/>
        <v>389</v>
      </c>
      <c r="I70" s="73">
        <f t="shared" si="24"/>
        <v>-6.2650602400000005E-2</v>
      </c>
      <c r="J70" s="86">
        <f t="shared" si="21"/>
        <v>130006559.95466971</v>
      </c>
      <c r="K70" s="79" t="s">
        <v>228</v>
      </c>
      <c r="L70" s="44">
        <f t="shared" si="17"/>
        <v>15.4</v>
      </c>
      <c r="M70" s="74">
        <f t="shared" si="18"/>
        <v>-4.9382716E-2</v>
      </c>
      <c r="N70" s="86">
        <f t="shared" si="22"/>
        <v>641040889.23240316</v>
      </c>
      <c r="O70" s="79" t="s">
        <v>208</v>
      </c>
      <c r="P70" s="44">
        <f t="shared" si="19"/>
        <v>436</v>
      </c>
      <c r="Q70" s="74">
        <f t="shared" si="20"/>
        <v>-6.0344827599999998E-2</v>
      </c>
      <c r="R70" s="86">
        <f t="shared" si="23"/>
        <v>89436106.252692655</v>
      </c>
    </row>
    <row r="71" spans="1:18">
      <c r="A71" s="40" t="s">
        <v>211</v>
      </c>
      <c r="B71" s="11" t="s">
        <v>212</v>
      </c>
      <c r="C71" s="91">
        <v>123</v>
      </c>
      <c r="D71" s="88">
        <v>-3.90625E-2</v>
      </c>
      <c r="E71" s="89">
        <v>299496467.05556184</v>
      </c>
      <c r="F71" s="35"/>
      <c r="G71" s="60" t="s">
        <v>170</v>
      </c>
      <c r="H71" s="45">
        <f t="shared" si="15"/>
        <v>470</v>
      </c>
      <c r="I71" s="76">
        <f t="shared" si="24"/>
        <v>-6.7460317500000005E-2</v>
      </c>
      <c r="J71" s="95">
        <f t="shared" si="21"/>
        <v>10427467.45043123</v>
      </c>
      <c r="K71" s="78" t="s">
        <v>152</v>
      </c>
      <c r="L71" s="39">
        <f t="shared" si="17"/>
        <v>37.9</v>
      </c>
      <c r="M71" s="73">
        <f t="shared" si="18"/>
        <v>-5.2499999999999998E-2</v>
      </c>
      <c r="N71" s="95">
        <f t="shared" si="22"/>
        <v>416673587.46833891</v>
      </c>
      <c r="O71" s="78" t="s">
        <v>54</v>
      </c>
      <c r="P71" s="39">
        <f t="shared" si="19"/>
        <v>389</v>
      </c>
      <c r="Q71" s="73">
        <f t="shared" si="20"/>
        <v>-6.2650602400000005E-2</v>
      </c>
      <c r="R71" s="95">
        <f t="shared" si="23"/>
        <v>130006559.95466971</v>
      </c>
    </row>
    <row r="72" spans="1:18">
      <c r="A72" s="40" t="s">
        <v>147</v>
      </c>
      <c r="B72" s="11" t="s">
        <v>148</v>
      </c>
      <c r="C72" s="91">
        <v>170</v>
      </c>
      <c r="D72" s="88">
        <v>-3.9548022600000003E-2</v>
      </c>
      <c r="E72" s="89">
        <v>40321764.471313007</v>
      </c>
      <c r="F72" s="35"/>
      <c r="G72" s="56" t="s">
        <v>240</v>
      </c>
      <c r="H72" s="39">
        <f t="shared" si="15"/>
        <v>157</v>
      </c>
      <c r="I72" s="73">
        <f t="shared" si="24"/>
        <v>-7.1005917200000004E-2</v>
      </c>
      <c r="J72" s="82">
        <f t="shared" si="21"/>
        <v>37981617.26199533</v>
      </c>
      <c r="K72" s="78" t="s">
        <v>218</v>
      </c>
      <c r="L72" s="39">
        <f t="shared" si="17"/>
        <v>23</v>
      </c>
      <c r="M72" s="73">
        <f t="shared" si="18"/>
        <v>-5.3497942399999998E-2</v>
      </c>
      <c r="N72" s="82">
        <f t="shared" si="22"/>
        <v>302088517.90899241</v>
      </c>
      <c r="O72" s="78" t="s">
        <v>170</v>
      </c>
      <c r="P72" s="39">
        <f t="shared" si="19"/>
        <v>470</v>
      </c>
      <c r="Q72" s="73">
        <f t="shared" si="20"/>
        <v>-6.7460317500000005E-2</v>
      </c>
      <c r="R72" s="82">
        <f t="shared" si="23"/>
        <v>10427467.45043123</v>
      </c>
    </row>
    <row r="73" spans="1:18">
      <c r="A73" s="40" t="s">
        <v>213</v>
      </c>
      <c r="B73" s="11" t="s">
        <v>214</v>
      </c>
      <c r="C73" s="91">
        <v>19.100000000000001</v>
      </c>
      <c r="D73" s="88">
        <v>-4.0201004999999998E-2</v>
      </c>
      <c r="E73" s="89">
        <v>839892003.44279563</v>
      </c>
      <c r="F73" s="35"/>
      <c r="G73" s="56" t="s">
        <v>182</v>
      </c>
      <c r="H73" s="39">
        <f t="shared" si="15"/>
        <v>507</v>
      </c>
      <c r="I73" s="73">
        <f t="shared" si="24"/>
        <v>-7.1428571400000002E-2</v>
      </c>
      <c r="J73" s="82">
        <f t="shared" si="21"/>
        <v>42807339.688796252</v>
      </c>
      <c r="K73" s="78" t="s">
        <v>172</v>
      </c>
      <c r="L73" s="39">
        <f t="shared" si="17"/>
        <v>22.5</v>
      </c>
      <c r="M73" s="73">
        <f t="shared" si="18"/>
        <v>-6.25E-2</v>
      </c>
      <c r="N73" s="82">
        <f t="shared" si="22"/>
        <v>412760527.1570465</v>
      </c>
      <c r="O73" s="78" t="s">
        <v>240</v>
      </c>
      <c r="P73" s="39">
        <f t="shared" si="19"/>
        <v>157</v>
      </c>
      <c r="Q73" s="73">
        <f t="shared" si="20"/>
        <v>-7.1005917200000004E-2</v>
      </c>
      <c r="R73" s="82">
        <f t="shared" si="23"/>
        <v>37981617.26199533</v>
      </c>
    </row>
    <row r="74" spans="1:18">
      <c r="A74" s="40" t="s">
        <v>105</v>
      </c>
      <c r="B74" s="11" t="s">
        <v>106</v>
      </c>
      <c r="C74" s="91">
        <v>2020</v>
      </c>
      <c r="D74" s="88">
        <v>-4.0380047500000002E-2</v>
      </c>
      <c r="E74" s="89">
        <v>2248902.1507311501</v>
      </c>
      <c r="F74" s="35"/>
      <c r="G74" s="56" t="s">
        <v>296</v>
      </c>
      <c r="H74" s="39">
        <f t="shared" si="15"/>
        <v>643</v>
      </c>
      <c r="I74" s="73">
        <f t="shared" si="24"/>
        <v>-7.2150072199999998E-2</v>
      </c>
      <c r="J74" s="82">
        <f t="shared" si="21"/>
        <v>2943580362.16539</v>
      </c>
      <c r="K74" s="78" t="s">
        <v>186</v>
      </c>
      <c r="L74" s="39">
        <f t="shared" si="17"/>
        <v>22.4</v>
      </c>
      <c r="M74" s="73">
        <f t="shared" si="18"/>
        <v>-7.4380165299999995E-2</v>
      </c>
      <c r="N74" s="82">
        <f t="shared" si="22"/>
        <v>669468225.55773163</v>
      </c>
      <c r="O74" s="78" t="s">
        <v>182</v>
      </c>
      <c r="P74" s="39">
        <f t="shared" si="19"/>
        <v>507</v>
      </c>
      <c r="Q74" s="73">
        <f t="shared" si="20"/>
        <v>-7.1428571400000002E-2</v>
      </c>
      <c r="R74" s="82">
        <f t="shared" si="23"/>
        <v>42807339.688796252</v>
      </c>
    </row>
    <row r="75" spans="1:18" ht="17.25" thickBot="1">
      <c r="A75" s="40" t="s">
        <v>135</v>
      </c>
      <c r="B75" s="11" t="s">
        <v>136</v>
      </c>
      <c r="C75" s="91">
        <v>235</v>
      </c>
      <c r="D75" s="88">
        <v>-4.08163265E-2</v>
      </c>
      <c r="E75" s="89">
        <v>15031021.840432771</v>
      </c>
      <c r="F75" s="35"/>
      <c r="G75" s="57" t="s">
        <v>186</v>
      </c>
      <c r="H75" s="37">
        <f t="shared" si="15"/>
        <v>22.4</v>
      </c>
      <c r="I75" s="75">
        <f t="shared" si="24"/>
        <v>-7.4380165299999995E-2</v>
      </c>
      <c r="J75" s="83">
        <f t="shared" si="21"/>
        <v>669468225.55773163</v>
      </c>
      <c r="K75" s="80"/>
      <c r="L75" s="37" t="str">
        <f t="shared" si="17"/>
        <v/>
      </c>
      <c r="M75" s="75" t="str">
        <f t="shared" si="18"/>
        <v/>
      </c>
      <c r="N75" s="83" t="str">
        <f t="shared" si="22"/>
        <v/>
      </c>
      <c r="O75" s="80" t="s">
        <v>296</v>
      </c>
      <c r="P75" s="37">
        <f t="shared" si="19"/>
        <v>643</v>
      </c>
      <c r="Q75" s="75">
        <f t="shared" si="20"/>
        <v>-7.2150072199999998E-2</v>
      </c>
      <c r="R75" s="83">
        <f t="shared" si="23"/>
        <v>2943580362.16539</v>
      </c>
    </row>
    <row r="76" spans="1:18">
      <c r="A76" s="40" t="s">
        <v>201</v>
      </c>
      <c r="B76" s="11" t="s">
        <v>202</v>
      </c>
      <c r="C76" s="91">
        <v>163</v>
      </c>
      <c r="D76" s="88">
        <v>-4.1176470600000001E-2</v>
      </c>
      <c r="E76" s="89">
        <v>67675728.055512086</v>
      </c>
      <c r="F76" s="35"/>
      <c r="G76" s="35"/>
      <c r="H76" s="35"/>
      <c r="I76" s="35"/>
    </row>
    <row r="77" spans="1:18">
      <c r="A77" s="40" t="s">
        <v>107</v>
      </c>
      <c r="B77" s="11" t="s">
        <v>108</v>
      </c>
      <c r="C77" s="91">
        <v>53680</v>
      </c>
      <c r="D77" s="88">
        <v>-4.1428571400000003E-2</v>
      </c>
      <c r="E77" s="89">
        <v>722576.92023726995</v>
      </c>
      <c r="F77" s="35"/>
      <c r="G77" s="35"/>
      <c r="H77" s="35"/>
      <c r="I77" s="35"/>
    </row>
    <row r="78" spans="1:18">
      <c r="A78" s="40" t="s">
        <v>95</v>
      </c>
      <c r="B78" s="11" t="s">
        <v>96</v>
      </c>
      <c r="C78" s="91">
        <v>4820000</v>
      </c>
      <c r="D78" s="88">
        <v>-4.1939972200000002E-2</v>
      </c>
      <c r="E78" s="89">
        <v>136036.62867546</v>
      </c>
      <c r="F78" s="35"/>
      <c r="G78" s="35"/>
      <c r="H78" s="35"/>
      <c r="I78" s="35"/>
    </row>
    <row r="79" spans="1:18">
      <c r="A79" s="40" t="s">
        <v>191</v>
      </c>
      <c r="B79" s="11" t="s">
        <v>192</v>
      </c>
      <c r="C79" s="91">
        <v>996</v>
      </c>
      <c r="D79" s="88">
        <v>-4.2307692299999998E-2</v>
      </c>
      <c r="E79" s="89">
        <v>3973332.6992529999</v>
      </c>
      <c r="F79" s="35"/>
      <c r="G79" s="35"/>
      <c r="H79" s="35"/>
      <c r="I79" s="35"/>
    </row>
    <row r="80" spans="1:18">
      <c r="A80" s="40" t="s">
        <v>267</v>
      </c>
      <c r="B80" s="11" t="s">
        <v>268</v>
      </c>
      <c r="C80" s="91">
        <v>79</v>
      </c>
      <c r="D80" s="88">
        <v>-4.2424242399999999E-2</v>
      </c>
      <c r="E80" s="89">
        <v>121653863.38713455</v>
      </c>
      <c r="F80" s="35"/>
      <c r="G80" s="35"/>
      <c r="H80" s="35"/>
      <c r="I80" s="35"/>
    </row>
    <row r="81" spans="1:9">
      <c r="A81" s="40" t="s">
        <v>75</v>
      </c>
      <c r="B81" s="11" t="s">
        <v>76</v>
      </c>
      <c r="C81" s="91">
        <v>55020</v>
      </c>
      <c r="D81" s="88">
        <v>-4.2963993700000001E-2</v>
      </c>
      <c r="E81" s="89">
        <v>1424959.49066266</v>
      </c>
      <c r="F81" s="35"/>
      <c r="G81" s="35"/>
      <c r="H81" s="35"/>
      <c r="I81" s="35"/>
    </row>
    <row r="82" spans="1:9">
      <c r="A82" s="40" t="s">
        <v>189</v>
      </c>
      <c r="B82" s="11" t="s">
        <v>190</v>
      </c>
      <c r="C82" s="91">
        <v>65760</v>
      </c>
      <c r="D82" s="88">
        <v>-4.3212570899999997E-2</v>
      </c>
      <c r="E82" s="89">
        <v>1079192.52318459</v>
      </c>
      <c r="F82" s="35"/>
      <c r="G82" s="35"/>
      <c r="H82" s="35"/>
      <c r="I82" s="35"/>
    </row>
    <row r="83" spans="1:9">
      <c r="A83" s="40" t="s">
        <v>223</v>
      </c>
      <c r="B83" s="11" t="s">
        <v>224</v>
      </c>
      <c r="C83" s="91">
        <v>1875</v>
      </c>
      <c r="D83" s="88">
        <v>-4.3367346899999999E-2</v>
      </c>
      <c r="E83" s="89">
        <v>13973313.894420231</v>
      </c>
      <c r="F83" s="35"/>
      <c r="G83" s="35"/>
      <c r="H83" s="35"/>
      <c r="I83" s="35"/>
    </row>
    <row r="84" spans="1:9">
      <c r="A84" s="40" t="s">
        <v>197</v>
      </c>
      <c r="B84" s="11" t="s">
        <v>198</v>
      </c>
      <c r="C84" s="91">
        <v>23.4</v>
      </c>
      <c r="D84" s="88">
        <v>-4.4897959199999997E-2</v>
      </c>
      <c r="E84" s="89">
        <v>473599023.278274</v>
      </c>
      <c r="F84" s="35"/>
      <c r="G84" s="35"/>
      <c r="H84" s="35"/>
      <c r="I84" s="35"/>
    </row>
    <row r="85" spans="1:9">
      <c r="A85" s="40" t="s">
        <v>66</v>
      </c>
      <c r="B85" s="11" t="s">
        <v>67</v>
      </c>
      <c r="C85" s="91">
        <v>7020</v>
      </c>
      <c r="D85" s="88">
        <v>-4.4897959199999997E-2</v>
      </c>
      <c r="E85" s="89">
        <v>1576088.8533151499</v>
      </c>
      <c r="F85" s="35"/>
      <c r="G85" s="35"/>
      <c r="H85" s="35"/>
      <c r="I85" s="35"/>
    </row>
    <row r="86" spans="1:9">
      <c r="A86" s="40" t="s">
        <v>177</v>
      </c>
      <c r="B86" s="11" t="s">
        <v>178</v>
      </c>
      <c r="C86" s="91">
        <v>45310</v>
      </c>
      <c r="D86" s="88">
        <v>-4.4898819600000001E-2</v>
      </c>
      <c r="E86" s="89">
        <v>137927.94412547001</v>
      </c>
      <c r="F86" s="35"/>
      <c r="G86" s="35"/>
      <c r="H86" s="35"/>
      <c r="I86" s="35"/>
    </row>
    <row r="87" spans="1:9">
      <c r="A87" s="40" t="s">
        <v>263</v>
      </c>
      <c r="B87" s="11" t="s">
        <v>264</v>
      </c>
      <c r="C87" s="91">
        <v>147</v>
      </c>
      <c r="D87" s="88">
        <v>-4.5454545499999999E-2</v>
      </c>
      <c r="E87" s="89">
        <v>73060247.296256959</v>
      </c>
      <c r="F87" s="35"/>
      <c r="G87" s="35"/>
      <c r="H87" s="35"/>
      <c r="I87" s="35"/>
    </row>
    <row r="88" spans="1:9">
      <c r="A88" s="40" t="s">
        <v>265</v>
      </c>
      <c r="B88" s="11" t="s">
        <v>266</v>
      </c>
      <c r="C88" s="91">
        <v>88</v>
      </c>
      <c r="D88" s="88">
        <v>-4.55531453E-2</v>
      </c>
      <c r="E88" s="89">
        <v>65032456.310953617</v>
      </c>
      <c r="F88" s="35"/>
      <c r="G88" s="35"/>
      <c r="H88" s="35"/>
      <c r="I88" s="35"/>
    </row>
    <row r="89" spans="1:9">
      <c r="A89" s="40" t="s">
        <v>251</v>
      </c>
      <c r="B89" s="11" t="s">
        <v>252</v>
      </c>
      <c r="C89" s="91">
        <v>438</v>
      </c>
      <c r="D89" s="88">
        <v>-4.5751633999999999E-2</v>
      </c>
      <c r="E89" s="89">
        <v>15012336.66026663</v>
      </c>
      <c r="F89" s="35"/>
      <c r="G89" s="35"/>
      <c r="H89" s="35"/>
      <c r="I89" s="35"/>
    </row>
    <row r="90" spans="1:9">
      <c r="A90" s="40" t="s">
        <v>64</v>
      </c>
      <c r="B90" s="11" t="s">
        <v>65</v>
      </c>
      <c r="C90" s="91">
        <v>61.6</v>
      </c>
      <c r="D90" s="88">
        <v>-4.6439628500000003E-2</v>
      </c>
      <c r="E90" s="89">
        <v>92270667.10971342</v>
      </c>
      <c r="F90" s="35"/>
      <c r="G90" s="35"/>
      <c r="H90" s="35"/>
      <c r="I90" s="35"/>
    </row>
    <row r="91" spans="1:9">
      <c r="A91" s="40" t="s">
        <v>139</v>
      </c>
      <c r="B91" s="11" t="s">
        <v>140</v>
      </c>
      <c r="C91" s="91">
        <v>3655</v>
      </c>
      <c r="D91" s="88">
        <v>-4.6936114700000003E-2</v>
      </c>
      <c r="E91" s="89">
        <v>813212.35444482998</v>
      </c>
      <c r="F91" s="35"/>
      <c r="G91" s="35"/>
      <c r="H91" s="35"/>
      <c r="I91" s="35"/>
    </row>
    <row r="92" spans="1:9">
      <c r="A92" s="40" t="s">
        <v>243</v>
      </c>
      <c r="B92" s="11" t="s">
        <v>244</v>
      </c>
      <c r="C92" s="91">
        <v>3030</v>
      </c>
      <c r="D92" s="88">
        <v>-4.7169811300000003E-2</v>
      </c>
      <c r="E92" s="89">
        <v>9754142.7407525107</v>
      </c>
      <c r="F92" s="35"/>
      <c r="G92" s="35"/>
      <c r="H92" s="35"/>
      <c r="I92" s="35"/>
    </row>
    <row r="93" spans="1:9">
      <c r="A93" s="40" t="s">
        <v>123</v>
      </c>
      <c r="B93" s="11" t="s">
        <v>124</v>
      </c>
      <c r="C93" s="91">
        <v>5740</v>
      </c>
      <c r="D93" s="88">
        <v>-4.8092869000000003E-2</v>
      </c>
      <c r="E93" s="89">
        <v>595803.24291221995</v>
      </c>
      <c r="F93" s="35"/>
      <c r="G93" s="35"/>
      <c r="H93" s="35"/>
      <c r="I93" s="35"/>
    </row>
    <row r="94" spans="1:9">
      <c r="A94" s="40" t="s">
        <v>221</v>
      </c>
      <c r="B94" s="11" t="s">
        <v>222</v>
      </c>
      <c r="C94" s="91">
        <v>15.7</v>
      </c>
      <c r="D94" s="88">
        <v>-4.8484848499999997E-2</v>
      </c>
      <c r="E94" s="89">
        <v>234789579.15731609</v>
      </c>
      <c r="F94" s="35"/>
      <c r="G94" s="35"/>
      <c r="H94" s="35"/>
      <c r="I94" s="35"/>
    </row>
    <row r="95" spans="1:9">
      <c r="A95" s="40" t="s">
        <v>271</v>
      </c>
      <c r="B95" s="11" t="s">
        <v>272</v>
      </c>
      <c r="C95" s="91">
        <v>2150</v>
      </c>
      <c r="D95" s="88">
        <v>-4.8672566399999999E-2</v>
      </c>
      <c r="E95" s="89">
        <v>1574247.2868743101</v>
      </c>
      <c r="F95" s="35"/>
      <c r="G95" s="35"/>
      <c r="H95" s="35"/>
      <c r="I95" s="35"/>
    </row>
    <row r="96" spans="1:9">
      <c r="A96" s="40" t="s">
        <v>193</v>
      </c>
      <c r="B96" s="11" t="s">
        <v>194</v>
      </c>
      <c r="C96" s="91">
        <v>11750</v>
      </c>
      <c r="D96" s="88">
        <v>-4.9352750799999998E-2</v>
      </c>
      <c r="E96" s="89">
        <v>903309.59247339005</v>
      </c>
      <c r="F96" s="35"/>
      <c r="G96" s="35"/>
      <c r="H96" s="35"/>
      <c r="I96" s="35"/>
    </row>
    <row r="97" spans="1:9">
      <c r="A97" s="40" t="s">
        <v>227</v>
      </c>
      <c r="B97" s="11" t="s">
        <v>228</v>
      </c>
      <c r="C97" s="91">
        <v>15.4</v>
      </c>
      <c r="D97" s="88">
        <v>-4.9382716E-2</v>
      </c>
      <c r="E97" s="89">
        <v>641040889.23240316</v>
      </c>
      <c r="F97" s="35"/>
      <c r="G97" s="35"/>
      <c r="H97" s="35"/>
      <c r="I97" s="35"/>
    </row>
    <row r="98" spans="1:9">
      <c r="A98" s="40" t="s">
        <v>247</v>
      </c>
      <c r="B98" s="11" t="s">
        <v>248</v>
      </c>
      <c r="C98" s="91">
        <v>3070</v>
      </c>
      <c r="D98" s="88">
        <v>-5.1004636800000003E-2</v>
      </c>
      <c r="E98" s="89">
        <v>2106797.94855745</v>
      </c>
      <c r="F98" s="35"/>
      <c r="G98" s="35"/>
      <c r="H98" s="35"/>
      <c r="I98" s="35"/>
    </row>
    <row r="99" spans="1:9">
      <c r="A99" s="40" t="s">
        <v>279</v>
      </c>
      <c r="B99" s="11" t="s">
        <v>280</v>
      </c>
      <c r="C99" s="91">
        <v>1480</v>
      </c>
      <c r="D99" s="88">
        <v>-5.1282051299999999E-2</v>
      </c>
      <c r="E99" s="89">
        <v>4349066.3514020396</v>
      </c>
      <c r="F99" s="35"/>
      <c r="G99" s="35"/>
      <c r="H99" s="35"/>
      <c r="I99" s="35"/>
    </row>
    <row r="100" spans="1:9">
      <c r="A100" s="40" t="s">
        <v>165</v>
      </c>
      <c r="B100" s="11" t="s">
        <v>166</v>
      </c>
      <c r="C100" s="91">
        <v>2100</v>
      </c>
      <c r="D100" s="88">
        <v>-5.1918735899999999E-2</v>
      </c>
      <c r="E100" s="89">
        <v>1639598.04120825</v>
      </c>
      <c r="F100" s="35"/>
      <c r="G100" s="35"/>
      <c r="H100" s="35"/>
      <c r="I100" s="35"/>
    </row>
    <row r="101" spans="1:9">
      <c r="A101" s="40" t="s">
        <v>233</v>
      </c>
      <c r="B101" s="11" t="s">
        <v>234</v>
      </c>
      <c r="C101" s="91">
        <v>1095</v>
      </c>
      <c r="D101" s="88">
        <v>-5.19480519E-2</v>
      </c>
      <c r="E101" s="89">
        <v>2887194.97171616</v>
      </c>
      <c r="F101" s="35"/>
      <c r="G101" s="35"/>
      <c r="H101" s="35"/>
      <c r="I101" s="35"/>
    </row>
    <row r="102" spans="1:9">
      <c r="A102" s="40" t="s">
        <v>151</v>
      </c>
      <c r="B102" s="11" t="s">
        <v>152</v>
      </c>
      <c r="C102" s="91">
        <v>37.9</v>
      </c>
      <c r="D102" s="88">
        <v>-5.2499999999999998E-2</v>
      </c>
      <c r="E102" s="89">
        <v>416673587.46833891</v>
      </c>
      <c r="F102" s="35"/>
      <c r="G102" s="35"/>
      <c r="H102" s="35"/>
      <c r="I102" s="35"/>
    </row>
    <row r="103" spans="1:9">
      <c r="A103" s="40" t="s">
        <v>217</v>
      </c>
      <c r="B103" s="11" t="s">
        <v>218</v>
      </c>
      <c r="C103" s="91">
        <v>23</v>
      </c>
      <c r="D103" s="88">
        <v>-5.3497942399999998E-2</v>
      </c>
      <c r="E103" s="89">
        <v>302088517.90899241</v>
      </c>
      <c r="F103" s="35"/>
      <c r="G103" s="35"/>
      <c r="H103" s="35"/>
      <c r="I103" s="35"/>
    </row>
    <row r="104" spans="1:9">
      <c r="A104" s="40" t="s">
        <v>173</v>
      </c>
      <c r="B104" s="11" t="s">
        <v>174</v>
      </c>
      <c r="C104" s="91">
        <v>243</v>
      </c>
      <c r="D104" s="88">
        <v>-5.4474708199999999E-2</v>
      </c>
      <c r="E104" s="89">
        <v>25224391.41620988</v>
      </c>
      <c r="F104" s="35"/>
      <c r="G104" s="35"/>
      <c r="H104" s="35"/>
      <c r="I104" s="35"/>
    </row>
    <row r="105" spans="1:9">
      <c r="A105" s="40" t="s">
        <v>261</v>
      </c>
      <c r="B105" s="11" t="s">
        <v>262</v>
      </c>
      <c r="C105" s="91">
        <v>1105</v>
      </c>
      <c r="D105" s="88">
        <v>-5.5555555600000001E-2</v>
      </c>
      <c r="E105" s="89">
        <v>14502538.898750789</v>
      </c>
      <c r="F105" s="35"/>
      <c r="G105" s="35"/>
      <c r="H105" s="35"/>
      <c r="I105" s="35"/>
    </row>
    <row r="106" spans="1:9">
      <c r="A106" s="40" t="s">
        <v>81</v>
      </c>
      <c r="B106" s="11" t="s">
        <v>82</v>
      </c>
      <c r="C106" s="91">
        <v>1360</v>
      </c>
      <c r="D106" s="88">
        <v>-5.5555555600000001E-2</v>
      </c>
      <c r="E106" s="89">
        <v>1418424.4373436901</v>
      </c>
      <c r="F106" s="35"/>
      <c r="G106" s="35"/>
      <c r="H106" s="35"/>
      <c r="I106" s="35"/>
    </row>
    <row r="107" spans="1:9">
      <c r="A107" s="40" t="s">
        <v>145</v>
      </c>
      <c r="B107" s="11" t="s">
        <v>146</v>
      </c>
      <c r="C107" s="91">
        <v>15790</v>
      </c>
      <c r="D107" s="88">
        <v>-5.7875894999999997E-2</v>
      </c>
      <c r="E107" s="89">
        <v>602078.46405459999</v>
      </c>
      <c r="F107" s="35"/>
      <c r="G107" s="35"/>
      <c r="H107" s="35"/>
      <c r="I107" s="35"/>
    </row>
    <row r="108" spans="1:9">
      <c r="A108" s="40" t="s">
        <v>241</v>
      </c>
      <c r="B108" s="11" t="s">
        <v>242</v>
      </c>
      <c r="C108" s="91">
        <v>8630</v>
      </c>
      <c r="D108" s="88">
        <v>-5.9400544999999999E-2</v>
      </c>
      <c r="E108" s="89">
        <v>4254408.7553563202</v>
      </c>
      <c r="F108" s="35"/>
      <c r="G108" s="35"/>
      <c r="H108" s="35"/>
      <c r="I108" s="35"/>
    </row>
    <row r="109" spans="1:9">
      <c r="A109" s="40" t="s">
        <v>207</v>
      </c>
      <c r="B109" s="11" t="s">
        <v>208</v>
      </c>
      <c r="C109" s="91">
        <v>436</v>
      </c>
      <c r="D109" s="88">
        <v>-6.0344827599999998E-2</v>
      </c>
      <c r="E109" s="41">
        <v>89436106.252692655</v>
      </c>
    </row>
    <row r="110" spans="1:9">
      <c r="A110" s="40" t="s">
        <v>275</v>
      </c>
      <c r="B110" s="11" t="s">
        <v>276</v>
      </c>
      <c r="C110" s="91">
        <v>4280</v>
      </c>
      <c r="D110" s="88">
        <v>-6.1403508799999999E-2</v>
      </c>
      <c r="E110" s="41">
        <v>3576002.7683037701</v>
      </c>
    </row>
    <row r="111" spans="1:9">
      <c r="A111" s="40" t="s">
        <v>171</v>
      </c>
      <c r="B111" s="11" t="s">
        <v>172</v>
      </c>
      <c r="C111" s="91">
        <v>22.5</v>
      </c>
      <c r="D111" s="88">
        <v>-6.25E-2</v>
      </c>
      <c r="E111" s="41">
        <v>412760527.1570465</v>
      </c>
    </row>
    <row r="112" spans="1:9">
      <c r="A112" s="40" t="s">
        <v>203</v>
      </c>
      <c r="B112" s="11" t="s">
        <v>204</v>
      </c>
      <c r="C112" s="91">
        <v>6375</v>
      </c>
      <c r="D112" s="88">
        <v>-6.25E-2</v>
      </c>
      <c r="E112" s="41">
        <v>5567396.4726426704</v>
      </c>
    </row>
    <row r="113" spans="1:5">
      <c r="A113" s="40" t="s">
        <v>53</v>
      </c>
      <c r="B113" s="11" t="s">
        <v>54</v>
      </c>
      <c r="C113" s="91">
        <v>389</v>
      </c>
      <c r="D113" s="88">
        <v>-6.2650602400000005E-2</v>
      </c>
      <c r="E113" s="41">
        <v>130006559.95466971</v>
      </c>
    </row>
    <row r="114" spans="1:5">
      <c r="A114" s="40" t="s">
        <v>169</v>
      </c>
      <c r="B114" s="11" t="s">
        <v>170</v>
      </c>
      <c r="C114" s="91">
        <v>470</v>
      </c>
      <c r="D114" s="88">
        <v>-6.7460317500000005E-2</v>
      </c>
      <c r="E114" s="41">
        <v>10427467.45043123</v>
      </c>
    </row>
    <row r="115" spans="1:5">
      <c r="A115" s="40" t="s">
        <v>239</v>
      </c>
      <c r="B115" s="11" t="s">
        <v>240</v>
      </c>
      <c r="C115" s="91">
        <v>157</v>
      </c>
      <c r="D115" s="88">
        <v>-7.1005917200000004E-2</v>
      </c>
      <c r="E115" s="41">
        <v>37981617.26199533</v>
      </c>
    </row>
    <row r="116" spans="1:5">
      <c r="A116" s="40" t="s">
        <v>181</v>
      </c>
      <c r="B116" s="11" t="s">
        <v>182</v>
      </c>
      <c r="C116" s="91">
        <v>507</v>
      </c>
      <c r="D116" s="88">
        <v>-7.1428571400000002E-2</v>
      </c>
      <c r="E116" s="41">
        <v>42807339.688796252</v>
      </c>
    </row>
    <row r="117" spans="1:5">
      <c r="A117" s="40" t="s">
        <v>295</v>
      </c>
      <c r="B117" s="11" t="s">
        <v>296</v>
      </c>
      <c r="C117" s="91">
        <v>643</v>
      </c>
      <c r="D117" s="88">
        <v>-7.2150072199999998E-2</v>
      </c>
      <c r="E117" s="41">
        <v>2943580362.16539</v>
      </c>
    </row>
    <row r="118" spans="1:5">
      <c r="A118" s="40" t="s">
        <v>185</v>
      </c>
      <c r="B118" s="11" t="s">
        <v>186</v>
      </c>
      <c r="C118" s="91">
        <v>22.4</v>
      </c>
      <c r="D118" s="88">
        <v>-7.4380165299999995E-2</v>
      </c>
      <c r="E118" s="41">
        <v>669468225.55773163</v>
      </c>
    </row>
    <row r="119" spans="1:5">
      <c r="A119" s="40"/>
      <c r="B119" s="11"/>
      <c r="C119" s="91"/>
      <c r="D119" s="88"/>
      <c r="E119" s="41"/>
    </row>
    <row r="120" spans="1:5">
      <c r="A120" s="40"/>
      <c r="B120" s="11"/>
      <c r="C120" s="91"/>
      <c r="D120" s="88"/>
      <c r="E120" s="41"/>
    </row>
    <row r="121" spans="1:5">
      <c r="A121" s="40"/>
      <c r="B121" s="11"/>
      <c r="C121" s="91"/>
      <c r="D121" s="88"/>
      <c r="E121" s="41"/>
    </row>
    <row r="122" spans="1:5">
      <c r="A122" s="40"/>
      <c r="B122" s="11"/>
      <c r="C122" s="91"/>
      <c r="D122" s="88"/>
      <c r="E122" s="41"/>
    </row>
    <row r="123" spans="1:5">
      <c r="A123" s="40"/>
      <c r="B123" s="11"/>
      <c r="C123" s="91"/>
      <c r="D123" s="88"/>
      <c r="E123" s="41"/>
    </row>
    <row r="124" spans="1:5">
      <c r="A124" s="40"/>
      <c r="B124" s="11"/>
      <c r="C124" s="91"/>
      <c r="D124" s="88"/>
      <c r="E124" s="41"/>
    </row>
    <row r="125" spans="1:5">
      <c r="A125" s="40"/>
      <c r="B125" s="11"/>
      <c r="C125" s="91"/>
      <c r="D125" s="88"/>
      <c r="E125" s="41"/>
    </row>
    <row r="126" spans="1:5">
      <c r="A126" s="40"/>
      <c r="B126" s="11"/>
      <c r="C126" s="91"/>
      <c r="D126" s="88"/>
      <c r="E126" s="41"/>
    </row>
    <row r="127" spans="1:5">
      <c r="A127" s="40"/>
      <c r="B127" s="11"/>
      <c r="C127" s="91"/>
      <c r="D127" s="88"/>
      <c r="E127" s="41"/>
    </row>
    <row r="128" spans="1:5">
      <c r="A128" s="40"/>
      <c r="B128" s="11"/>
      <c r="C128" s="91"/>
      <c r="D128" s="88"/>
      <c r="E128" s="41"/>
    </row>
    <row r="129" spans="1:5">
      <c r="A129" s="40"/>
      <c r="B129" s="11"/>
      <c r="C129" s="91"/>
      <c r="D129" s="88"/>
      <c r="E129" s="41"/>
    </row>
    <row r="130" spans="1:5">
      <c r="A130" s="40"/>
      <c r="B130" s="11"/>
      <c r="C130" s="91"/>
      <c r="D130" s="88"/>
      <c r="E130" s="41"/>
    </row>
    <row r="131" spans="1:5">
      <c r="A131" s="40"/>
      <c r="B131" s="11"/>
      <c r="C131" s="91"/>
      <c r="D131" s="88"/>
      <c r="E131" s="41"/>
    </row>
    <row r="132" spans="1:5">
      <c r="A132" s="40"/>
      <c r="B132" s="11"/>
      <c r="C132" s="91"/>
      <c r="D132" s="88"/>
      <c r="E132" s="41"/>
    </row>
    <row r="133" spans="1:5">
      <c r="A133" s="40"/>
      <c r="B133" s="11"/>
      <c r="C133" s="91"/>
      <c r="D133" s="88"/>
      <c r="E133" s="41"/>
    </row>
    <row r="134" spans="1:5">
      <c r="A134" s="40"/>
      <c r="B134" s="11"/>
      <c r="C134" s="91"/>
      <c r="D134" s="88"/>
      <c r="E134" s="41"/>
    </row>
    <row r="135" spans="1:5">
      <c r="A135" s="40"/>
      <c r="B135" s="11"/>
      <c r="C135" s="91"/>
      <c r="D135" s="88"/>
      <c r="E135" s="41"/>
    </row>
    <row r="136" spans="1:5">
      <c r="A136" s="40"/>
      <c r="B136" s="11"/>
      <c r="C136" s="91"/>
      <c r="D136" s="88"/>
      <c r="E136" s="41"/>
    </row>
    <row r="137" spans="1:5">
      <c r="A137" s="40"/>
      <c r="B137" s="11"/>
      <c r="C137" s="91"/>
      <c r="D137" s="88"/>
      <c r="E137" s="41"/>
    </row>
    <row r="138" spans="1:5">
      <c r="A138" s="40"/>
      <c r="B138" s="11"/>
      <c r="C138" s="91"/>
      <c r="D138" s="88"/>
      <c r="E138" s="41"/>
    </row>
    <row r="139" spans="1:5">
      <c r="A139" s="40"/>
      <c r="B139" s="11"/>
      <c r="C139" s="91"/>
      <c r="D139" s="88"/>
      <c r="E139" s="41"/>
    </row>
    <row r="140" spans="1:5">
      <c r="A140" s="40"/>
      <c r="B140" s="11"/>
      <c r="C140" s="91"/>
      <c r="D140" s="88"/>
      <c r="E140" s="41"/>
    </row>
    <row r="141" spans="1:5">
      <c r="A141" s="40"/>
      <c r="B141" s="11"/>
      <c r="C141" s="91"/>
      <c r="D141" s="88"/>
      <c r="E141" s="41"/>
    </row>
    <row r="142" spans="1:5">
      <c r="A142" s="40"/>
      <c r="B142" s="11"/>
      <c r="C142" s="91"/>
      <c r="D142" s="88"/>
      <c r="E142" s="41"/>
    </row>
    <row r="143" spans="1:5">
      <c r="A143" s="40"/>
      <c r="B143" s="11"/>
      <c r="C143" s="91"/>
      <c r="D143" s="88"/>
      <c r="E143" s="41"/>
    </row>
    <row r="144" spans="1:5">
      <c r="A144" s="40"/>
      <c r="B144" s="11"/>
      <c r="C144" s="91"/>
      <c r="D144" s="88"/>
      <c r="E144" s="41"/>
    </row>
    <row r="145" spans="1:5">
      <c r="A145" s="40"/>
      <c r="B145" s="11"/>
      <c r="C145" s="91"/>
      <c r="D145" s="88"/>
      <c r="E145" s="41"/>
    </row>
    <row r="146" spans="1:5">
      <c r="A146" s="40"/>
      <c r="B146" s="11"/>
      <c r="C146" s="91"/>
      <c r="D146" s="88"/>
      <c r="E146" s="41"/>
    </row>
    <row r="147" spans="1:5">
      <c r="A147" s="40"/>
      <c r="B147" s="11"/>
      <c r="C147" s="91"/>
      <c r="D147" s="88"/>
      <c r="E147" s="41"/>
    </row>
    <row r="148" spans="1:5">
      <c r="A148" s="40"/>
      <c r="B148" s="11"/>
      <c r="C148" s="91"/>
      <c r="D148" s="88"/>
      <c r="E148" s="41"/>
    </row>
    <row r="149" spans="1:5">
      <c r="A149" s="40"/>
      <c r="B149" s="11"/>
      <c r="C149" s="91"/>
      <c r="D149" s="88"/>
      <c r="E149" s="41"/>
    </row>
    <row r="150" spans="1:5">
      <c r="A150" s="40"/>
      <c r="B150" s="11"/>
      <c r="C150" s="91"/>
      <c r="D150" s="88"/>
      <c r="E150" s="41"/>
    </row>
    <row r="151" spans="1:5">
      <c r="A151" s="40"/>
      <c r="B151" s="11"/>
      <c r="C151" s="91"/>
      <c r="D151" s="88"/>
      <c r="E151" s="41"/>
    </row>
    <row r="152" spans="1:5">
      <c r="A152" s="40"/>
      <c r="B152" s="11"/>
      <c r="C152" s="91"/>
      <c r="D152" s="88"/>
      <c r="E152" s="41"/>
    </row>
    <row r="153" spans="1:5">
      <c r="A153" s="40"/>
      <c r="B153" s="11"/>
      <c r="C153" s="91"/>
      <c r="D153" s="88"/>
      <c r="E153" s="41"/>
    </row>
    <row r="154" spans="1:5">
      <c r="A154" s="40"/>
      <c r="B154" s="11"/>
      <c r="C154" s="91"/>
      <c r="D154" s="88"/>
      <c r="E154" s="41"/>
    </row>
    <row r="155" spans="1:5">
      <c r="A155" s="40"/>
      <c r="B155" s="11"/>
      <c r="C155" s="91"/>
      <c r="D155" s="88"/>
      <c r="E155" s="41"/>
    </row>
    <row r="156" spans="1:5">
      <c r="A156" s="40"/>
      <c r="B156" s="11"/>
      <c r="C156" s="91"/>
      <c r="D156" s="88"/>
      <c r="E156" s="41"/>
    </row>
    <row r="157" spans="1:5">
      <c r="A157" s="40"/>
      <c r="B157" s="11"/>
      <c r="C157" s="91"/>
      <c r="D157" s="88"/>
      <c r="E157" s="41"/>
    </row>
    <row r="158" spans="1:5">
      <c r="A158" s="40"/>
      <c r="B158" s="11"/>
      <c r="C158" s="91"/>
      <c r="D158" s="88"/>
      <c r="E158" s="41"/>
    </row>
    <row r="159" spans="1:5">
      <c r="A159" s="40"/>
      <c r="B159" s="11"/>
      <c r="C159" s="91"/>
      <c r="D159" s="88"/>
      <c r="E159" s="41"/>
    </row>
    <row r="160" spans="1:5">
      <c r="A160" s="40"/>
      <c r="B160" s="11"/>
      <c r="C160" s="91"/>
      <c r="D160" s="88"/>
      <c r="E160" s="41"/>
    </row>
    <row r="161" spans="1:5">
      <c r="A161" s="40"/>
      <c r="B161" s="11"/>
      <c r="C161" s="91"/>
      <c r="D161" s="88"/>
      <c r="E161" s="41"/>
    </row>
    <row r="162" spans="1:5">
      <c r="A162" s="40"/>
      <c r="B162" s="11"/>
      <c r="C162" s="91"/>
      <c r="D162" s="88"/>
      <c r="E162" s="41"/>
    </row>
    <row r="163" spans="1:5">
      <c r="A163" s="40"/>
      <c r="B163" s="11"/>
      <c r="C163" s="91"/>
      <c r="D163" s="88"/>
      <c r="E163" s="41"/>
    </row>
    <row r="164" spans="1:5">
      <c r="A164" s="40"/>
      <c r="B164" s="11"/>
      <c r="C164" s="91"/>
      <c r="D164" s="88"/>
      <c r="E164" s="41"/>
    </row>
    <row r="165" spans="1:5">
      <c r="A165" s="40"/>
      <c r="B165" s="11"/>
      <c r="C165" s="91"/>
      <c r="D165" s="88"/>
      <c r="E165" s="41"/>
    </row>
    <row r="166" spans="1:5">
      <c r="A166" s="40"/>
      <c r="B166" s="11"/>
      <c r="C166" s="91"/>
      <c r="D166" s="88"/>
      <c r="E166" s="41"/>
    </row>
    <row r="167" spans="1:5">
      <c r="A167" s="40"/>
      <c r="B167" s="11"/>
      <c r="C167" s="91"/>
      <c r="D167" s="88"/>
      <c r="E167" s="41"/>
    </row>
    <row r="168" spans="1:5">
      <c r="A168" s="40"/>
      <c r="B168" s="11"/>
      <c r="C168" s="91"/>
      <c r="D168" s="88"/>
      <c r="E168" s="41"/>
    </row>
    <row r="169" spans="1:5">
      <c r="A169" s="40"/>
      <c r="B169" s="11"/>
      <c r="C169" s="91"/>
      <c r="D169" s="88"/>
      <c r="E169" s="41"/>
    </row>
    <row r="170" spans="1:5">
      <c r="A170" s="40"/>
      <c r="B170" s="11"/>
      <c r="C170" s="91"/>
      <c r="D170" s="88"/>
      <c r="E170" s="41"/>
    </row>
    <row r="171" spans="1:5">
      <c r="A171" s="40"/>
      <c r="B171" s="11"/>
      <c r="C171" s="91"/>
      <c r="D171" s="88"/>
      <c r="E171" s="41"/>
    </row>
    <row r="172" spans="1:5">
      <c r="A172" s="40"/>
      <c r="B172" s="11"/>
      <c r="C172" s="91"/>
      <c r="D172" s="88"/>
      <c r="E172" s="41"/>
    </row>
    <row r="173" spans="1:5">
      <c r="A173" s="40"/>
      <c r="B173" s="11"/>
      <c r="C173" s="91"/>
      <c r="D173" s="88"/>
      <c r="E173" s="41"/>
    </row>
    <row r="174" spans="1:5">
      <c r="A174" s="40"/>
      <c r="B174" s="11"/>
      <c r="C174" s="91"/>
      <c r="D174" s="88"/>
      <c r="E174" s="41"/>
    </row>
    <row r="175" spans="1:5">
      <c r="A175" s="40"/>
      <c r="B175" s="11"/>
      <c r="C175" s="91"/>
      <c r="D175" s="88"/>
      <c r="E175" s="41"/>
    </row>
    <row r="176" spans="1:5">
      <c r="A176" s="40"/>
      <c r="B176" s="11"/>
      <c r="C176" s="91"/>
      <c r="D176" s="88"/>
      <c r="E176" s="41"/>
    </row>
    <row r="177" spans="1:5">
      <c r="A177" s="40"/>
      <c r="B177" s="11"/>
      <c r="C177" s="91"/>
      <c r="D177" s="88"/>
      <c r="E177" s="41"/>
    </row>
    <row r="178" spans="1:5">
      <c r="A178" s="40"/>
      <c r="B178" s="11"/>
      <c r="C178" s="91"/>
      <c r="D178" s="88"/>
      <c r="E178" s="41"/>
    </row>
    <row r="179" spans="1:5">
      <c r="A179" s="40"/>
      <c r="B179" s="11"/>
      <c r="C179" s="91"/>
      <c r="D179" s="88"/>
      <c r="E179" s="41"/>
    </row>
    <row r="180" spans="1:5">
      <c r="A180" s="40"/>
      <c r="B180" s="11"/>
      <c r="C180" s="91"/>
      <c r="D180" s="88"/>
      <c r="E180" s="41"/>
    </row>
    <row r="181" spans="1:5">
      <c r="A181" s="40"/>
      <c r="B181" s="11"/>
      <c r="C181" s="91"/>
      <c r="D181" s="88"/>
      <c r="E181" s="41"/>
    </row>
    <row r="182" spans="1:5">
      <c r="A182" s="40"/>
      <c r="B182" s="11"/>
      <c r="C182" s="91"/>
      <c r="D182" s="88"/>
      <c r="E182" s="41"/>
    </row>
    <row r="183" spans="1:5">
      <c r="A183" s="40"/>
      <c r="B183" s="11"/>
      <c r="C183" s="91"/>
      <c r="D183" s="88"/>
      <c r="E183" s="41"/>
    </row>
    <row r="184" spans="1:5">
      <c r="A184" s="40"/>
      <c r="B184" s="11"/>
      <c r="C184" s="91"/>
      <c r="D184" s="88"/>
      <c r="E184" s="41"/>
    </row>
    <row r="185" spans="1:5">
      <c r="A185" s="40"/>
      <c r="B185" s="11"/>
      <c r="C185" s="91"/>
      <c r="D185" s="88"/>
      <c r="E185" s="41"/>
    </row>
    <row r="186" spans="1:5">
      <c r="A186" s="40"/>
      <c r="B186" s="11"/>
      <c r="C186" s="91"/>
      <c r="D186" s="88"/>
      <c r="E186" s="41"/>
    </row>
    <row r="187" spans="1:5">
      <c r="A187" s="40"/>
      <c r="B187" s="11"/>
      <c r="C187" s="91"/>
      <c r="D187" s="88"/>
      <c r="E187" s="41"/>
    </row>
    <row r="188" spans="1:5">
      <c r="A188" s="40"/>
      <c r="B188" s="11"/>
      <c r="C188" s="91"/>
      <c r="D188" s="88"/>
      <c r="E188" s="41"/>
    </row>
    <row r="189" spans="1:5">
      <c r="A189" s="40"/>
      <c r="B189" s="11"/>
      <c r="C189" s="91"/>
      <c r="D189" s="88"/>
      <c r="E189" s="41"/>
    </row>
    <row r="190" spans="1:5">
      <c r="A190" s="40"/>
      <c r="B190" s="11"/>
      <c r="C190" s="91"/>
      <c r="D190" s="88"/>
      <c r="E190" s="41"/>
    </row>
    <row r="191" spans="1:5">
      <c r="A191" s="40"/>
      <c r="B191" s="11"/>
      <c r="C191" s="91"/>
      <c r="D191" s="88"/>
      <c r="E191" s="41"/>
    </row>
    <row r="192" spans="1:5">
      <c r="A192" s="40"/>
      <c r="B192" s="11"/>
      <c r="C192" s="91"/>
      <c r="D192" s="88"/>
      <c r="E192" s="41"/>
    </row>
    <row r="193" spans="1:5">
      <c r="A193" s="40"/>
      <c r="B193" s="11"/>
      <c r="C193" s="91"/>
      <c r="D193" s="88"/>
      <c r="E193" s="41"/>
    </row>
    <row r="194" spans="1:5">
      <c r="A194" s="40"/>
      <c r="B194" s="11"/>
      <c r="C194" s="91"/>
      <c r="D194" s="88"/>
      <c r="E194" s="41"/>
    </row>
    <row r="195" spans="1:5">
      <c r="A195" s="40"/>
      <c r="B195" s="11"/>
      <c r="C195" s="91"/>
      <c r="D195" s="88"/>
      <c r="E195" s="41"/>
    </row>
    <row r="196" spans="1:5">
      <c r="A196" s="40"/>
      <c r="B196" s="11"/>
      <c r="C196" s="91"/>
      <c r="D196" s="88"/>
      <c r="E196" s="41"/>
    </row>
    <row r="197" spans="1:5">
      <c r="A197" s="40"/>
      <c r="B197" s="11"/>
      <c r="C197" s="91"/>
      <c r="D197" s="88"/>
      <c r="E197" s="41"/>
    </row>
    <row r="198" spans="1:5">
      <c r="A198" s="40"/>
      <c r="B198" s="11"/>
      <c r="C198" s="91"/>
      <c r="D198" s="88"/>
      <c r="E198" s="41"/>
    </row>
    <row r="199" spans="1:5">
      <c r="A199" s="40"/>
      <c r="B199" s="92"/>
      <c r="C199" s="93"/>
      <c r="D199" s="88"/>
      <c r="E199" s="41"/>
    </row>
    <row r="200" spans="1:5" ht="17.25" thickBot="1">
      <c r="A200" s="42"/>
      <c r="B200" s="67"/>
      <c r="C200" s="94"/>
      <c r="D200" s="90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1"/>
    <col min="2" max="2" width="11.875" style="121" bestFit="1" customWidth="1"/>
    <col min="3" max="3" width="21.25" style="121" customWidth="1"/>
    <col min="4" max="4" width="16.25" style="121" bestFit="1" customWidth="1"/>
    <col min="5" max="5" width="9" style="121"/>
    <col min="6" max="6" width="14.375" style="121" bestFit="1" customWidth="1"/>
    <col min="7" max="7" width="16.25" style="121" bestFit="1" customWidth="1"/>
    <col min="8" max="8" width="9" style="121"/>
    <col min="9" max="9" width="14.5" style="121" customWidth="1"/>
    <col min="10" max="10" width="16.25" style="121" bestFit="1" customWidth="1"/>
    <col min="11" max="11" width="9" style="121"/>
    <col min="12" max="13" width="16.25" style="121" bestFit="1" customWidth="1"/>
    <col min="14" max="14" width="9" style="121"/>
    <col min="15" max="15" width="15.25" style="121" bestFit="1" customWidth="1"/>
    <col min="16" max="16" width="9" style="121" customWidth="1"/>
    <col min="17" max="19" width="12.125" style="121" customWidth="1"/>
    <col min="20" max="16384" width="9" style="121"/>
  </cols>
  <sheetData>
    <row r="1" spans="1:15" ht="16.5" customHeight="1" thickBot="1">
      <c r="A1" s="252" t="str">
        <f>TEXT(투자전략!$G$1, "[$-ko-KR]yyyy년 mm월") &amp; " 총결산"</f>
        <v>2021년 05월 총결산</v>
      </c>
      <c r="B1" s="253"/>
      <c r="C1" s="253"/>
      <c r="D1" s="253"/>
      <c r="E1" s="253"/>
      <c r="F1" s="253"/>
      <c r="G1" s="253"/>
      <c r="H1" s="253"/>
      <c r="I1" s="253"/>
      <c r="J1" s="253"/>
      <c r="K1" s="253"/>
      <c r="L1" s="253"/>
      <c r="M1" s="253"/>
      <c r="N1" s="253"/>
      <c r="O1" s="254"/>
    </row>
    <row r="2" spans="1:15" ht="16.5" customHeight="1" thickBot="1">
      <c r="A2" s="258" t="s">
        <v>326</v>
      </c>
      <c r="B2" s="259"/>
      <c r="C2" s="259"/>
      <c r="D2" s="250" t="s">
        <v>322</v>
      </c>
      <c r="E2" s="250"/>
      <c r="F2" s="251"/>
      <c r="G2" s="252" t="s">
        <v>323</v>
      </c>
      <c r="H2" s="253"/>
      <c r="I2" s="254"/>
      <c r="J2" s="249" t="s">
        <v>324</v>
      </c>
      <c r="K2" s="250"/>
      <c r="L2" s="250"/>
      <c r="M2" s="250" t="s">
        <v>325</v>
      </c>
      <c r="N2" s="250"/>
      <c r="O2" s="251"/>
    </row>
    <row r="3" spans="1:15" ht="16.5" customHeight="1">
      <c r="A3" s="338">
        <v>1</v>
      </c>
      <c r="B3" s="25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전일대비 상승률 Top20</v>
      </c>
      <c r="C3" s="260"/>
      <c r="D3" s="258" t="s">
        <v>327</v>
      </c>
      <c r="E3" s="259"/>
      <c r="F3" s="260"/>
      <c r="G3" s="258" t="s">
        <v>334</v>
      </c>
      <c r="H3" s="259"/>
      <c r="I3" s="260"/>
      <c r="J3" s="258" t="s">
        <v>341</v>
      </c>
      <c r="K3" s="259"/>
      <c r="L3" s="260"/>
      <c r="M3" s="258" t="s">
        <v>348</v>
      </c>
      <c r="N3" s="259"/>
      <c r="O3" s="260"/>
    </row>
    <row r="4" spans="1:15" ht="16.5" customHeight="1" thickBot="1">
      <c r="A4" s="339"/>
      <c r="B4" s="26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880,360 KRW (23.48%)</v>
      </c>
      <c r="C4" s="266"/>
      <c r="D4" s="264" t="str">
        <f ca="1" xml:space="preserve"> TEXT($F$92, "#,##0") &amp; " KRW (" &amp; TEXT($E$92, "0.00%)")</f>
        <v>-611,518 KRW (-17.44%)</v>
      </c>
      <c r="E4" s="265"/>
      <c r="F4" s="266"/>
      <c r="G4" s="264" t="str">
        <f ca="1" xml:space="preserve"> TEXT($I$92, "#,##0") &amp; " KRW (" &amp; TEXT($H$92, "0.00%)")</f>
        <v>-488,334 KRW (-13.93%)</v>
      </c>
      <c r="H4" s="265"/>
      <c r="I4" s="266"/>
      <c r="J4" s="264" t="str">
        <f ca="1" xml:space="preserve"> TEXT($L$92, "#,##0") &amp; " KRW (" &amp; TEXT($K$92, "0.00%)")</f>
        <v>-222,995 KRW (-6.36%)</v>
      </c>
      <c r="K4" s="265"/>
      <c r="L4" s="266"/>
      <c r="M4" s="264" t="str">
        <f ca="1" xml:space="preserve"> TEXT($O$92, "#,##0") &amp; " KRW (" &amp; TEXT($N$92, "0.00%)")</f>
        <v>-474,728 KRW (-13.54%)</v>
      </c>
      <c r="N4" s="265"/>
      <c r="O4" s="266"/>
    </row>
    <row r="5" spans="1:15" ht="16.5" customHeight="1">
      <c r="A5" s="338">
        <v>2</v>
      </c>
      <c r="B5" s="25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19:00] 전일대비 상승률 Top20</v>
      </c>
      <c r="C5" s="260"/>
      <c r="D5" s="258" t="s">
        <v>328</v>
      </c>
      <c r="E5" s="259"/>
      <c r="F5" s="260"/>
      <c r="G5" s="258" t="s">
        <v>335</v>
      </c>
      <c r="H5" s="259"/>
      <c r="I5" s="260"/>
      <c r="J5" s="258" t="s">
        <v>342</v>
      </c>
      <c r="K5" s="259"/>
      <c r="L5" s="260"/>
      <c r="M5" s="258" t="s">
        <v>349</v>
      </c>
      <c r="N5" s="259"/>
      <c r="O5" s="260"/>
    </row>
    <row r="6" spans="1:15" ht="16.5" customHeight="1" thickBot="1">
      <c r="A6" s="339"/>
      <c r="B6" s="26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501,939 KRW (13.39%)</v>
      </c>
      <c r="C6" s="266"/>
      <c r="D6" s="264" t="str">
        <f ca="1" xml:space="preserve"> TEXT($F$130, "#,##0") &amp; " KRW (" &amp; TEXT($E$130, "0.00%)")</f>
        <v>-123,144 KRW (-3.28%)</v>
      </c>
      <c r="E6" s="265"/>
      <c r="F6" s="266"/>
      <c r="G6" s="264" t="str">
        <f ca="1" xml:space="preserve"> TEXT($I$130, "#,##0") &amp; " KRW (" &amp; TEXT($H$130, "0.00%)")</f>
        <v>60,055 KRW (1.60%)</v>
      </c>
      <c r="H6" s="265"/>
      <c r="I6" s="266"/>
      <c r="J6" s="264" t="str">
        <f ca="1" xml:space="preserve"> TEXT($L$130, "#,##0") &amp; " KRW (" &amp; TEXT($K$130, "0.00%)")</f>
        <v>328,681 KRW (8.76%)</v>
      </c>
      <c r="K6" s="265"/>
      <c r="L6" s="266"/>
      <c r="M6" s="264" t="str">
        <f ca="1" xml:space="preserve"> TEXT($O$130, "#,##0") &amp; " KRW (" &amp; TEXT($N$130, "0.00%)")</f>
        <v>-44,683 KRW (-1.19%)</v>
      </c>
      <c r="N6" s="265"/>
      <c r="O6" s="266"/>
    </row>
    <row r="7" spans="1:15" ht="16.5" customHeight="1">
      <c r="A7" s="338">
        <v>3</v>
      </c>
      <c r="B7" s="25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[오전 00:00] 전일대비 상승률 Top20</v>
      </c>
      <c r="C7" s="260"/>
      <c r="D7" s="258" t="s">
        <v>329</v>
      </c>
      <c r="E7" s="259"/>
      <c r="F7" s="260"/>
      <c r="G7" s="258" t="s">
        <v>336</v>
      </c>
      <c r="H7" s="259"/>
      <c r="I7" s="260"/>
      <c r="J7" s="258" t="s">
        <v>343</v>
      </c>
      <c r="K7" s="259"/>
      <c r="L7" s="260"/>
      <c r="M7" s="258" t="s">
        <v>350</v>
      </c>
      <c r="N7" s="259"/>
      <c r="O7" s="260"/>
    </row>
    <row r="8" spans="1:15" ht="16.5" customHeight="1" thickBot="1">
      <c r="A8" s="339"/>
      <c r="B8" s="26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457,748 KRW (12.21%)</v>
      </c>
      <c r="C8" s="266"/>
      <c r="D8" s="264" t="str">
        <f ca="1" xml:space="preserve"> TEXT($F$206, "#,##0") &amp; " KRW (" &amp; TEXT($E$206, "0.00%)")</f>
        <v>-622,942 KRW (-17.86%)</v>
      </c>
      <c r="E8" s="265"/>
      <c r="F8" s="266"/>
      <c r="G8" s="264" t="str">
        <f ca="1" xml:space="preserve"> TEXT($I$206, "#,##0") &amp; " KRW (" &amp; TEXT($H$206, "0.00%)")</f>
        <v>-490,631 KRW (-14.07%)</v>
      </c>
      <c r="H8" s="265"/>
      <c r="I8" s="266"/>
      <c r="J8" s="264" t="str">
        <f ca="1" xml:space="preserve"> TEXT($L$206, "#,##0") &amp; " KRW (" &amp; TEXT($K$206, "0.00%)")</f>
        <v>-224,850 KRW (-6.45%)</v>
      </c>
      <c r="K8" s="265"/>
      <c r="L8" s="266"/>
      <c r="M8" s="264" t="str">
        <f ca="1" xml:space="preserve"> TEXT($O$206, "#,##0") &amp; " KRW (" &amp; TEXT($N$206, "0.00%)")</f>
        <v>-475,341 KRW (-13.63%)</v>
      </c>
      <c r="N8" s="265"/>
      <c r="O8" s="266"/>
    </row>
    <row r="9" spans="1:15" ht="16.5" customHeight="1">
      <c r="A9" s="338">
        <v>4</v>
      </c>
      <c r="B9" s="25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전일대비 상승률 Top20</v>
      </c>
      <c r="C9" s="260"/>
      <c r="D9" s="258" t="s">
        <v>330</v>
      </c>
      <c r="E9" s="259"/>
      <c r="F9" s="260"/>
      <c r="G9" s="258" t="s">
        <v>337</v>
      </c>
      <c r="H9" s="259"/>
      <c r="I9" s="260"/>
      <c r="J9" s="258" t="s">
        <v>344</v>
      </c>
      <c r="K9" s="259"/>
      <c r="L9" s="260"/>
      <c r="M9" s="258" t="s">
        <v>351</v>
      </c>
      <c r="N9" s="259"/>
      <c r="O9" s="260"/>
    </row>
    <row r="10" spans="1:15" ht="16.5" customHeight="1" thickBot="1">
      <c r="A10" s="339"/>
      <c r="B10" s="26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331,166 KRW (8.83%)</v>
      </c>
      <c r="C10" s="266"/>
      <c r="D10" s="264" t="str">
        <f ca="1" xml:space="preserve"> TEXT($F$244, "#,##0") &amp; " KRW (" &amp; TEXT($E$244, "0.00%)")</f>
        <v>-487,710 KRW (-13.01%)</v>
      </c>
      <c r="E10" s="265"/>
      <c r="F10" s="266"/>
      <c r="G10" s="264" t="str">
        <f ca="1" xml:space="preserve"> TEXT($I$244, "#,##0") &amp; " KRW (" &amp; TEXT($H$244, "0.00%)")</f>
        <v>-353,363 KRW (-9.42%)</v>
      </c>
      <c r="H10" s="265"/>
      <c r="I10" s="266"/>
      <c r="J10" s="264" t="str">
        <f ca="1" xml:space="preserve"> TEXT($L$244, "#,##0") &amp; " KRW (" &amp; TEXT($K$244, "0.00%)")</f>
        <v>-177,849 KRW (-4.74%)</v>
      </c>
      <c r="K10" s="265"/>
      <c r="L10" s="266"/>
      <c r="M10" s="264" t="str">
        <f ca="1" xml:space="preserve"> TEXT($O$244, "#,##0") &amp; " KRW (" &amp; TEXT($N$244, "0.00%)")</f>
        <v>-388,148 KRW (-10.35%)</v>
      </c>
      <c r="N10" s="265"/>
      <c r="O10" s="266"/>
    </row>
    <row r="11" spans="1:15" ht="16.5" customHeight="1">
      <c r="A11" s="338">
        <v>5</v>
      </c>
      <c r="B11" s="25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21:00] 동전코인 Top20</v>
      </c>
      <c r="C11" s="260"/>
      <c r="D11" s="258" t="s">
        <v>331</v>
      </c>
      <c r="E11" s="259"/>
      <c r="F11" s="260"/>
      <c r="G11" s="258" t="s">
        <v>338</v>
      </c>
      <c r="H11" s="259"/>
      <c r="I11" s="260"/>
      <c r="J11" s="258" t="s">
        <v>345</v>
      </c>
      <c r="K11" s="259"/>
      <c r="L11" s="260"/>
      <c r="M11" s="258" t="s">
        <v>352</v>
      </c>
      <c r="N11" s="259"/>
      <c r="O11" s="260"/>
    </row>
    <row r="12" spans="1:15" ht="16.5" customHeight="1" thickBot="1">
      <c r="A12" s="339"/>
      <c r="B12" s="26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328,681 KRW (8.76%)</v>
      </c>
      <c r="C12" s="266"/>
      <c r="D12" s="264" t="str">
        <f ca="1" xml:space="preserve"> TEXT($F$168, "#,##0") &amp; " KRW (" &amp; TEXT($E$168, "0.00%)")</f>
        <v>331,166 KRW (8.83%)</v>
      </c>
      <c r="E12" s="265"/>
      <c r="F12" s="266"/>
      <c r="G12" s="264" t="str">
        <f ca="1" xml:space="preserve"> TEXT($I$168, "#,##0") &amp; " KRW (" &amp; TEXT($H$168, "0.00%)")</f>
        <v>501,939 KRW (13.39%)</v>
      </c>
      <c r="H12" s="265"/>
      <c r="I12" s="266"/>
      <c r="J12" s="264" t="str">
        <f ca="1" xml:space="preserve"> TEXT($L$168, "#,##0") &amp; " KRW (" &amp; TEXT($K$168, "0.00%)")</f>
        <v>880,360 KRW (23.48%)</v>
      </c>
      <c r="K12" s="265"/>
      <c r="L12" s="266"/>
      <c r="M12" s="264" t="str">
        <f ca="1" xml:space="preserve"> TEXT($O$168, "#,##0") &amp; " KRW (" &amp; TEXT($N$168, "0.00%)")</f>
        <v>457,748 KRW (12.21%)</v>
      </c>
      <c r="N12" s="265"/>
      <c r="O12" s="266"/>
    </row>
    <row r="13" spans="1:15" ht="16.5" customHeight="1">
      <c r="A13" s="338">
        <v>6</v>
      </c>
      <c r="B13" s="25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21:00] 실거래종목</v>
      </c>
      <c r="C13" s="260"/>
      <c r="D13" s="258" t="s">
        <v>332</v>
      </c>
      <c r="E13" s="259"/>
      <c r="F13" s="260"/>
      <c r="G13" s="258" t="s">
        <v>339</v>
      </c>
      <c r="H13" s="259"/>
      <c r="I13" s="260"/>
      <c r="J13" s="258" t="s">
        <v>346</v>
      </c>
      <c r="K13" s="259"/>
      <c r="L13" s="260"/>
      <c r="M13" s="258" t="s">
        <v>353</v>
      </c>
      <c r="N13" s="259"/>
      <c r="O13" s="260"/>
    </row>
    <row r="14" spans="1:15" ht="16.5" customHeight="1" thickBot="1">
      <c r="A14" s="339"/>
      <c r="B14" s="26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207,744 KRW (8.72%)</v>
      </c>
      <c r="C14" s="266"/>
      <c r="D14" s="264" t="str">
        <f ca="1" xml:space="preserve"> TEXT($F$282, "#,##0") &amp; " KRW (" &amp; TEXT($E$282, "0.00%)")</f>
        <v>-846,562 KRW (-22.57%)</v>
      </c>
      <c r="E14" s="265"/>
      <c r="F14" s="266"/>
      <c r="G14" s="264" t="str">
        <f ca="1" xml:space="preserve"> TEXT($I$282, "#,##0") &amp; " KRW (" &amp; TEXT($H$282, "0.00%)")</f>
        <v>-759,766 KRW (-20.26%)</v>
      </c>
      <c r="H14" s="265"/>
      <c r="I14" s="266"/>
      <c r="J14" s="264" t="str">
        <f ca="1" xml:space="preserve"> TEXT($L$282, "#,##0") &amp; " KRW (" &amp; TEXT($K$282, "0.00%)")</f>
        <v>-609,680 KRW (-16.26%)</v>
      </c>
      <c r="K14" s="265"/>
      <c r="L14" s="266"/>
      <c r="M14" s="264" t="str">
        <f ca="1" xml:space="preserve"> TEXT($O$282, "#,##0") &amp; " KRW (" &amp; TEXT($N$282, "0.00%)")</f>
        <v>-817,635 KRW (-21.80%)</v>
      </c>
      <c r="N14" s="265"/>
      <c r="O14" s="266"/>
    </row>
    <row r="15" spans="1:15" ht="16.5" customHeight="1">
      <c r="A15" s="338">
        <v>7</v>
      </c>
      <c r="B15" s="25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19:00] 동전코인 Top20</v>
      </c>
      <c r="C15" s="260"/>
      <c r="D15" s="258" t="s">
        <v>333</v>
      </c>
      <c r="E15" s="259"/>
      <c r="F15" s="260"/>
      <c r="G15" s="258" t="s">
        <v>340</v>
      </c>
      <c r="H15" s="259"/>
      <c r="I15" s="260"/>
      <c r="J15" s="258" t="s">
        <v>347</v>
      </c>
      <c r="K15" s="259"/>
      <c r="L15" s="260"/>
      <c r="M15" s="258" t="s">
        <v>354</v>
      </c>
      <c r="N15" s="259"/>
      <c r="O15" s="260"/>
    </row>
    <row r="16" spans="1:15" ht="16.5" customHeight="1" thickBot="1">
      <c r="A16" s="339"/>
      <c r="B16" s="26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60,055 KRW (1.60%)</v>
      </c>
      <c r="C16" s="266"/>
      <c r="D16" s="264" t="str">
        <f ca="1" xml:space="preserve"> TEXT($F$54, "#,##0") &amp; " KRW (" &amp; TEXT($E$54, "0.00%)")</f>
        <v>-51,579 KRW (-2.17%)</v>
      </c>
      <c r="E16" s="265"/>
      <c r="F16" s="266"/>
      <c r="G16" s="264" t="str">
        <f ca="1" xml:space="preserve"> TEXT($I$54, "#,##0") &amp; " KRW (" &amp; TEXT($H$54, "0.00%)")</f>
        <v>24,840 KRW (1.04%)</v>
      </c>
      <c r="H16" s="265"/>
      <c r="I16" s="266"/>
      <c r="J16" s="264" t="str">
        <f ca="1" xml:space="preserve"> TEXT($L$54, "#,##0") &amp; " KRW (" &amp; TEXT($K$54, "0.00%)")</f>
        <v>207,744 KRW (8.72%)</v>
      </c>
      <c r="K16" s="265"/>
      <c r="L16" s="266"/>
      <c r="M16" s="264" t="str">
        <f ca="1" xml:space="preserve"> TEXT($O$54, "#,##0") &amp; " KRW (" &amp; TEXT($N$54, "0.00%)")</f>
        <v>5,131 KRW (0.22%)</v>
      </c>
      <c r="N16" s="265"/>
      <c r="O16" s="266"/>
    </row>
    <row r="18" spans="1:15" ht="16.5" customHeight="1" thickBot="1"/>
    <row r="19" spans="1:15" ht="16.5" customHeight="1" thickBot="1">
      <c r="A19" s="249" t="str">
        <f>TEXT(투자전략!$G$1, "[$-ko-KR]yyyy년 mm월 ") &amp; "실거래 월말결산"</f>
        <v>2021년 05월 실거래 월말결산</v>
      </c>
      <c r="B19" s="250"/>
      <c r="C19" s="250"/>
      <c r="D19" s="250"/>
      <c r="E19" s="250"/>
      <c r="F19" s="250"/>
      <c r="G19" s="250"/>
      <c r="H19" s="250"/>
      <c r="I19" s="250"/>
      <c r="J19" s="250"/>
      <c r="K19" s="250"/>
      <c r="L19" s="250"/>
      <c r="M19" s="250"/>
      <c r="N19" s="250"/>
      <c r="O19" s="251"/>
    </row>
    <row r="20" spans="1:15" ht="16.5" customHeight="1" thickBot="1">
      <c r="A20" s="310" t="s">
        <v>320</v>
      </c>
      <c r="B20" s="264" t="s">
        <v>318</v>
      </c>
      <c r="C20" s="266"/>
      <c r="D20" s="264" t="s">
        <v>310</v>
      </c>
      <c r="E20" s="265"/>
      <c r="F20" s="266"/>
      <c r="G20" s="264" t="s">
        <v>311</v>
      </c>
      <c r="H20" s="265"/>
      <c r="I20" s="266"/>
      <c r="J20" s="264" t="s">
        <v>312</v>
      </c>
      <c r="K20" s="265"/>
      <c r="L20" s="266"/>
      <c r="M20" s="264" t="s">
        <v>313</v>
      </c>
      <c r="N20" s="265"/>
      <c r="O20" s="266"/>
    </row>
    <row r="21" spans="1:15" ht="16.5" customHeight="1" thickBot="1">
      <c r="A21" s="314"/>
      <c r="B21" s="145" t="s">
        <v>308</v>
      </c>
      <c r="C21" s="145" t="s">
        <v>42</v>
      </c>
      <c r="D21" s="120" t="s">
        <v>309</v>
      </c>
      <c r="E21" s="132" t="s">
        <v>40</v>
      </c>
      <c r="F21" s="148" t="s">
        <v>41</v>
      </c>
      <c r="G21" s="120" t="s">
        <v>309</v>
      </c>
      <c r="H21" s="132" t="s">
        <v>40</v>
      </c>
      <c r="I21" s="148" t="s">
        <v>41</v>
      </c>
      <c r="J21" s="120" t="s">
        <v>309</v>
      </c>
      <c r="K21" s="132" t="s">
        <v>40</v>
      </c>
      <c r="L21" s="148" t="s">
        <v>41</v>
      </c>
      <c r="M21" s="120" t="s">
        <v>309</v>
      </c>
      <c r="N21" s="132" t="s">
        <v>40</v>
      </c>
      <c r="O21" s="148" t="s">
        <v>41</v>
      </c>
    </row>
    <row r="22" spans="1:15" ht="16.5" customHeight="1">
      <c r="A22" s="145">
        <v>1</v>
      </c>
      <c r="B22" s="145" t="str">
        <f>TEXT(투자전략!$G$1+0, "[$-ko-KR]yyyy.mm.dd")</f>
        <v>2021.05.01</v>
      </c>
      <c r="C22" s="133">
        <f ca="1">IFERROR(COUNTA(INDIRECT($B22&amp;"!A17:A36")) * INDIRECT($B22&amp;"!B37"), "")</f>
        <v>1500000</v>
      </c>
      <c r="D22" s="141">
        <f ca="1">IFERROR($C22 * (1 + E22), "")</f>
        <v>1537148.5592487582</v>
      </c>
      <c r="E22" s="72">
        <f ca="1">IFERROR(INDIRECT($B22&amp;"!E37"), "")</f>
        <v>2.4765706165838879E-2</v>
      </c>
      <c r="F22" s="140">
        <f ca="1">IFERROR(INDIRECT($B22&amp;"!F37"), "")</f>
        <v>37148.55924875832</v>
      </c>
      <c r="G22" s="141">
        <f ca="1">IFERROR($C22 * (1 + H22), "")</f>
        <v>1524358.7407947064</v>
      </c>
      <c r="H22" s="72">
        <f ca="1">IFERROR(INDIRECT($B22&amp;"!H37"), "")</f>
        <v>1.6239160529804193E-2</v>
      </c>
      <c r="I22" s="140">
        <f ca="1">IFERROR(INDIRECT($B22&amp;"!I37"), "")</f>
        <v>24358.740794706289</v>
      </c>
      <c r="J22" s="141">
        <f ca="1">IFERROR($C22 * (1 + K22), "")</f>
        <v>1541059.6578824846</v>
      </c>
      <c r="K22" s="72">
        <f ca="1">IFERROR(INDIRECT($B22&amp;"!K37"), "")</f>
        <v>2.7373105254989795E-2</v>
      </c>
      <c r="L22" s="140">
        <f ca="1">IFERROR(INDIRECT($B22&amp;"!L37"), "")</f>
        <v>41059.657882484695</v>
      </c>
      <c r="M22" s="141">
        <f ca="1">IFERROR($C22 * (1 + N22), "")</f>
        <v>1525524.8993430813</v>
      </c>
      <c r="N22" s="72">
        <f ca="1">IFERROR(INDIRECT($B22&amp;"!N37"), "")</f>
        <v>1.7016599562054108E-2</v>
      </c>
      <c r="O22" s="140">
        <f ca="1">IFERROR(INDIRECT($B22&amp;"!O37"), "")</f>
        <v>25524.899343081161</v>
      </c>
    </row>
    <row r="23" spans="1:15" ht="16.5" customHeight="1">
      <c r="A23" s="147">
        <v>2</v>
      </c>
      <c r="B23" s="147" t="str">
        <f>TEXT(투자전략!$G$1+1, "[$-ko-KR]yyyy.mm.dd")</f>
        <v>2021.05.02</v>
      </c>
      <c r="C23" s="134">
        <f t="shared" ref="C23:C52" ca="1" si="0">IFERROR(COUNTA(INDIRECT($B23&amp;"!A17:A36")) * INDIRECT($B23&amp;"!B37"), "")</f>
        <v>1500000</v>
      </c>
      <c r="D23" s="138">
        <f t="shared" ref="D23:D52" ca="1" si="1">IFERROR($C23 * (1 + E23), "")</f>
        <v>1477868.831183566</v>
      </c>
      <c r="E23" s="73">
        <f t="shared" ref="E23:E52" ca="1" si="2">IFERROR(INDIRECT($B23&amp;"!E37"), "")</f>
        <v>-1.4754112544289216E-2</v>
      </c>
      <c r="F23" s="136">
        <f t="shared" ref="F23:F52" ca="1" si="3">IFERROR(INDIRECT($B23&amp;"!F37"), "")</f>
        <v>-22131.168816433827</v>
      </c>
      <c r="G23" s="138">
        <f t="shared" ref="G23:G52" ca="1" si="4">IFERROR($C23 * (1 + H23), "")</f>
        <v>1481878.8005359648</v>
      </c>
      <c r="H23" s="73">
        <f t="shared" ref="H23:H52" ca="1" si="5">IFERROR(INDIRECT($B23&amp;"!H37"), "")</f>
        <v>-1.2080799642690102E-2</v>
      </c>
      <c r="I23" s="136">
        <f t="shared" ref="I23:I52" ca="1" si="6">IFERROR(INDIRECT($B23&amp;"!I37"), "")</f>
        <v>-18121.199464035148</v>
      </c>
      <c r="J23" s="138">
        <f t="shared" ref="J23:J52" ca="1" si="7">IFERROR($C23 * (1 + K23), "")</f>
        <v>1490013.0381251995</v>
      </c>
      <c r="K23" s="73">
        <f t="shared" ref="K23:K52" ca="1" si="8">IFERROR(INDIRECT($B23&amp;"!K37"), "")</f>
        <v>-6.6579745832004086E-3</v>
      </c>
      <c r="L23" s="136">
        <f t="shared" ref="L23:L52" ca="1" si="9">IFERROR(INDIRECT($B23&amp;"!L37"), "")</f>
        <v>-9986.9618748006123</v>
      </c>
      <c r="M23" s="138">
        <f t="shared" ref="M23:M52" ca="1" si="10">IFERROR($C23 * (1 + N23), "")</f>
        <v>1505154.0441810088</v>
      </c>
      <c r="N23" s="73">
        <f t="shared" ref="N23:N52" ca="1" si="11">IFERROR(INDIRECT($B23&amp;"!N37"), "")</f>
        <v>3.4360294540058622E-3</v>
      </c>
      <c r="O23" s="136">
        <f t="shared" ref="O23:O52" ca="1" si="12">IFERROR(INDIRECT($B23&amp;"!O37"), "")</f>
        <v>5154.0441810087932</v>
      </c>
    </row>
    <row r="24" spans="1:15" ht="16.5" customHeight="1">
      <c r="A24" s="147">
        <v>3</v>
      </c>
      <c r="B24" s="147" t="str">
        <f>TEXT(투자전략!$G$1+2, "[$-ko-KR]yyyy.mm.dd")</f>
        <v>2021.05.03</v>
      </c>
      <c r="C24" s="134">
        <f t="shared" ca="1" si="0"/>
        <v>1500000</v>
      </c>
      <c r="D24" s="138">
        <f t="shared" ca="1" si="1"/>
        <v>1523347.3977118272</v>
      </c>
      <c r="E24" s="73">
        <f t="shared" ca="1" si="2"/>
        <v>1.5564931807884787E-2</v>
      </c>
      <c r="F24" s="136">
        <f t="shared" ca="1" si="3"/>
        <v>23347.397711827187</v>
      </c>
      <c r="G24" s="138">
        <f t="shared" ca="1" si="4"/>
        <v>1560142.7557216759</v>
      </c>
      <c r="H24" s="73">
        <f t="shared" ca="1" si="5"/>
        <v>4.0095170481117118E-2</v>
      </c>
      <c r="I24" s="136">
        <f t="shared" ca="1" si="6"/>
        <v>60142.755721675669</v>
      </c>
      <c r="J24" s="138">
        <f t="shared" ca="1" si="7"/>
        <v>1568682.2171573569</v>
      </c>
      <c r="K24" s="73">
        <f t="shared" ca="1" si="8"/>
        <v>4.5788144771571407E-2</v>
      </c>
      <c r="L24" s="136">
        <f t="shared" ca="1" si="9"/>
        <v>68682.217157357096</v>
      </c>
      <c r="M24" s="138">
        <f t="shared" ca="1" si="10"/>
        <v>1559667.7728955552</v>
      </c>
      <c r="N24" s="73">
        <f t="shared" ca="1" si="11"/>
        <v>3.9778515263703573E-2</v>
      </c>
      <c r="O24" s="136">
        <f t="shared" ca="1" si="12"/>
        <v>59667.772895555361</v>
      </c>
    </row>
    <row r="25" spans="1:15" ht="16.5" customHeight="1">
      <c r="A25" s="147">
        <v>4</v>
      </c>
      <c r="B25" s="147" t="str">
        <f>TEXT(투자전략!$G$1+3, "[$-ko-KR]yyyy.mm.dd")</f>
        <v>2021.05.04</v>
      </c>
      <c r="C25" s="134">
        <f t="shared" ca="1" si="0"/>
        <v>1500000</v>
      </c>
      <c r="D25" s="138">
        <f t="shared" ca="1" si="1"/>
        <v>1447221.3062181717</v>
      </c>
      <c r="E25" s="73">
        <f t="shared" ca="1" si="2"/>
        <v>-3.5185795854552129E-2</v>
      </c>
      <c r="F25" s="136">
        <f t="shared" ca="1" si="3"/>
        <v>-52778.693781828188</v>
      </c>
      <c r="G25" s="138">
        <f t="shared" ca="1" si="4"/>
        <v>1456602.1520214851</v>
      </c>
      <c r="H25" s="73">
        <f t="shared" ca="1" si="5"/>
        <v>-2.8931898652343191E-2</v>
      </c>
      <c r="I25" s="136">
        <f t="shared" ca="1" si="6"/>
        <v>-43397.847978514787</v>
      </c>
      <c r="J25" s="138">
        <f t="shared" ca="1" si="7"/>
        <v>1443915.4672803837</v>
      </c>
      <c r="K25" s="73">
        <f t="shared" ca="1" si="8"/>
        <v>-3.7389688479744207E-2</v>
      </c>
      <c r="L25" s="136">
        <f t="shared" ca="1" si="9"/>
        <v>-56084.532719616313</v>
      </c>
      <c r="M25" s="138">
        <f t="shared" ca="1" si="10"/>
        <v>1398486.0165930653</v>
      </c>
      <c r="N25" s="73">
        <f t="shared" ca="1" si="11"/>
        <v>-6.7675988937956469E-2</v>
      </c>
      <c r="O25" s="136">
        <f t="shared" ca="1" si="12"/>
        <v>-101513.98340693471</v>
      </c>
    </row>
    <row r="26" spans="1:15" ht="16.5" customHeight="1">
      <c r="A26" s="147">
        <v>5</v>
      </c>
      <c r="B26" s="147" t="str">
        <f>TEXT(투자전략!$G$1+4, "[$-ko-KR]yyyy.mm.dd")</f>
        <v>2021.05.05</v>
      </c>
      <c r="C26" s="134">
        <f t="shared" ca="1" si="0"/>
        <v>0</v>
      </c>
      <c r="D26" s="138">
        <f t="shared" ca="1" si="1"/>
        <v>0</v>
      </c>
      <c r="E26" s="73">
        <f t="shared" ca="1" si="2"/>
        <v>0</v>
      </c>
      <c r="F26" s="136">
        <f t="shared" ca="1" si="3"/>
        <v>0</v>
      </c>
      <c r="G26" s="138">
        <f t="shared" ca="1" si="4"/>
        <v>0</v>
      </c>
      <c r="H26" s="73">
        <f t="shared" ca="1" si="5"/>
        <v>0</v>
      </c>
      <c r="I26" s="136">
        <f t="shared" ca="1" si="6"/>
        <v>0</v>
      </c>
      <c r="J26" s="138">
        <f t="shared" ca="1" si="7"/>
        <v>0</v>
      </c>
      <c r="K26" s="73">
        <f t="shared" ca="1" si="8"/>
        <v>0</v>
      </c>
      <c r="L26" s="136">
        <f t="shared" ca="1" si="9"/>
        <v>0</v>
      </c>
      <c r="M26" s="138">
        <f t="shared" ca="1" si="10"/>
        <v>0</v>
      </c>
      <c r="N26" s="73">
        <f t="shared" ca="1" si="11"/>
        <v>0</v>
      </c>
      <c r="O26" s="136">
        <f t="shared" ca="1" si="12"/>
        <v>0</v>
      </c>
    </row>
    <row r="27" spans="1:15" ht="16.5" customHeight="1">
      <c r="A27" s="147">
        <v>6</v>
      </c>
      <c r="B27" s="147" t="str">
        <f>TEXT(투자전략!$G$1+5, "[$-ko-KR]yyyy.mm.dd")</f>
        <v>2021.05.06</v>
      </c>
      <c r="C27" s="134">
        <f t="shared" ca="1" si="0"/>
        <v>3000000</v>
      </c>
      <c r="D27" s="138">
        <f t="shared" ca="1" si="1"/>
        <v>3257879.8644327633</v>
      </c>
      <c r="E27" s="73">
        <f t="shared" ca="1" si="2"/>
        <v>8.5959954810921085E-2</v>
      </c>
      <c r="F27" s="136">
        <f t="shared" ca="1" si="3"/>
        <v>257879.86443276325</v>
      </c>
      <c r="G27" s="138">
        <f t="shared" ca="1" si="4"/>
        <v>3230604.3387588654</v>
      </c>
      <c r="H27" s="73">
        <f t="shared" ca="1" si="5"/>
        <v>7.6868112919621853E-2</v>
      </c>
      <c r="I27" s="136">
        <f t="shared" ca="1" si="6"/>
        <v>230604.3387588656</v>
      </c>
      <c r="J27" s="138">
        <f t="shared" ca="1" si="7"/>
        <v>3300116.9283017786</v>
      </c>
      <c r="K27" s="73">
        <f t="shared" ca="1" si="8"/>
        <v>0.10003897610059287</v>
      </c>
      <c r="L27" s="136">
        <f t="shared" ca="1" si="9"/>
        <v>300116.92830177856</v>
      </c>
      <c r="M27" s="138">
        <f t="shared" ca="1" si="10"/>
        <v>3353374.1318830764</v>
      </c>
      <c r="N27" s="73">
        <f t="shared" ca="1" si="11"/>
        <v>0.1177913772943588</v>
      </c>
      <c r="O27" s="136">
        <f t="shared" ca="1" si="12"/>
        <v>353374.13188307645</v>
      </c>
    </row>
    <row r="28" spans="1:15" ht="16.5" customHeight="1" thickBot="1">
      <c r="A28" s="146">
        <v>7</v>
      </c>
      <c r="B28" s="146" t="str">
        <f>TEXT(투자전략!$G$1+6, "[$-ko-KR]yyyy.mm.dd")</f>
        <v>2021.05.07</v>
      </c>
      <c r="C28" s="135">
        <f t="shared" ca="1" si="0"/>
        <v>3000000</v>
      </c>
      <c r="D28" s="139">
        <f t="shared" ca="1" si="1"/>
        <v>3139394.5491867843</v>
      </c>
      <c r="E28" s="75">
        <f t="shared" ca="1" si="2"/>
        <v>4.6464849728928163E-2</v>
      </c>
      <c r="F28" s="137">
        <f t="shared" ca="1" si="3"/>
        <v>139394.54918678451</v>
      </c>
      <c r="G28" s="139">
        <f t="shared" ca="1" si="4"/>
        <v>3249695.91004832</v>
      </c>
      <c r="H28" s="75">
        <f t="shared" ca="1" si="5"/>
        <v>8.3231970016106507E-2</v>
      </c>
      <c r="I28" s="137">
        <f t="shared" ca="1" si="6"/>
        <v>249695.91004831955</v>
      </c>
      <c r="J28" s="139">
        <f t="shared" ca="1" si="7"/>
        <v>3304484.0968257068</v>
      </c>
      <c r="K28" s="75">
        <f t="shared" ca="1" si="8"/>
        <v>0.10149469894190226</v>
      </c>
      <c r="L28" s="137">
        <f t="shared" ca="1" si="9"/>
        <v>304484.09682570671</v>
      </c>
      <c r="M28" s="139">
        <f t="shared" ca="1" si="10"/>
        <v>3291654.044557563</v>
      </c>
      <c r="N28" s="75">
        <f t="shared" ca="1" si="11"/>
        <v>9.7218014852521087E-2</v>
      </c>
      <c r="O28" s="137">
        <f t="shared" ca="1" si="12"/>
        <v>291654.0445575632</v>
      </c>
    </row>
    <row r="29" spans="1:15" ht="16.5" customHeight="1">
      <c r="A29" s="145">
        <v>8</v>
      </c>
      <c r="B29" s="145" t="str">
        <f>TEXT(투자전략!$G$1+7, "[$-ko-KR]yyyy.mm.dd")</f>
        <v>2021.05.08</v>
      </c>
      <c r="C29" s="133">
        <f t="shared" ca="1" si="0"/>
        <v>3000000</v>
      </c>
      <c r="D29" s="141">
        <f t="shared" ca="1" si="1"/>
        <v>2858003.0883885557</v>
      </c>
      <c r="E29" s="72">
        <f t="shared" ca="1" si="2"/>
        <v>-4.7332303870481401E-2</v>
      </c>
      <c r="F29" s="140">
        <f t="shared" ca="1" si="3"/>
        <v>-141996.91161144423</v>
      </c>
      <c r="G29" s="141">
        <f t="shared" ca="1" si="4"/>
        <v>2912976.580666366</v>
      </c>
      <c r="H29" s="72">
        <f t="shared" ca="1" si="5"/>
        <v>-2.9007806444544669E-2</v>
      </c>
      <c r="I29" s="140">
        <f t="shared" ca="1" si="6"/>
        <v>-87023.41933363401</v>
      </c>
      <c r="J29" s="141">
        <f t="shared" ca="1" si="7"/>
        <v>2905833.9516736357</v>
      </c>
      <c r="K29" s="72">
        <f t="shared" ca="1" si="8"/>
        <v>-3.1388682775454854E-2</v>
      </c>
      <c r="L29" s="140">
        <f t="shared" ca="1" si="9"/>
        <v>-94166.048326364573</v>
      </c>
      <c r="M29" s="141">
        <f t="shared" ca="1" si="10"/>
        <v>2904341.722518648</v>
      </c>
      <c r="N29" s="72">
        <f t="shared" ca="1" si="11"/>
        <v>-3.1886092493784067E-2</v>
      </c>
      <c r="O29" s="140">
        <f t="shared" ca="1" si="12"/>
        <v>-95658.277481352183</v>
      </c>
    </row>
    <row r="30" spans="1:15" ht="16.5" customHeight="1">
      <c r="A30" s="147">
        <v>9</v>
      </c>
      <c r="B30" s="147" t="str">
        <f>TEXT(투자전략!$G$1+8, "[$-ko-KR]yyyy.mm.dd")</f>
        <v>2021.05.09</v>
      </c>
      <c r="C30" s="134">
        <f t="shared" ca="1" si="0"/>
        <v>3000000</v>
      </c>
      <c r="D30" s="138">
        <f t="shared" ca="1" si="1"/>
        <v>2916544.0926512168</v>
      </c>
      <c r="E30" s="73">
        <f t="shared" ca="1" si="2"/>
        <v>-2.7818635782927797E-2</v>
      </c>
      <c r="F30" s="136">
        <f t="shared" ca="1" si="3"/>
        <v>-83455.90734878341</v>
      </c>
      <c r="G30" s="138">
        <f t="shared" ca="1" si="4"/>
        <v>2881674.2465324234</v>
      </c>
      <c r="H30" s="73">
        <f t="shared" ca="1" si="5"/>
        <v>-3.9441917822525444E-2</v>
      </c>
      <c r="I30" s="136">
        <f t="shared" ca="1" si="6"/>
        <v>-118325.75346757633</v>
      </c>
      <c r="J30" s="138">
        <f t="shared" ca="1" si="7"/>
        <v>2840496.3275325312</v>
      </c>
      <c r="K30" s="73">
        <f t="shared" ca="1" si="8"/>
        <v>-5.3167890822489551E-2</v>
      </c>
      <c r="L30" s="136">
        <f t="shared" ca="1" si="9"/>
        <v>-159503.67246746868</v>
      </c>
      <c r="M30" s="138">
        <f t="shared" ca="1" si="10"/>
        <v>2848565.9800213883</v>
      </c>
      <c r="N30" s="73">
        <f t="shared" ca="1" si="11"/>
        <v>-5.0478006659537146E-2</v>
      </c>
      <c r="O30" s="136">
        <f t="shared" ca="1" si="12"/>
        <v>-151434.01997861144</v>
      </c>
    </row>
    <row r="31" spans="1:15" ht="16.5" customHeight="1">
      <c r="A31" s="147">
        <v>10</v>
      </c>
      <c r="B31" s="147" t="str">
        <f>TEXT(투자전략!$G$1+9, "[$-ko-KR]yyyy.mm.dd")</f>
        <v>2021.05.10</v>
      </c>
      <c r="C31" s="134">
        <f t="shared" ca="1" si="0"/>
        <v>3000000</v>
      </c>
      <c r="D31" s="138">
        <f t="shared" ca="1" si="1"/>
        <v>3043195.4481098079</v>
      </c>
      <c r="E31" s="73">
        <f t="shared" ca="1" si="2"/>
        <v>1.4398482703269253E-2</v>
      </c>
      <c r="F31" s="136">
        <f t="shared" ca="1" si="3"/>
        <v>43195.448109807767</v>
      </c>
      <c r="G31" s="138">
        <f t="shared" ca="1" si="4"/>
        <v>3076185.1648063501</v>
      </c>
      <c r="H31" s="73">
        <f t="shared" ca="1" si="5"/>
        <v>2.5395054935450044E-2</v>
      </c>
      <c r="I31" s="136">
        <f t="shared" ca="1" si="6"/>
        <v>76185.164806350134</v>
      </c>
      <c r="J31" s="138">
        <f t="shared" ca="1" si="7"/>
        <v>3045370.1058964198</v>
      </c>
      <c r="K31" s="73">
        <f t="shared" ca="1" si="8"/>
        <v>1.5123368632140022E-2</v>
      </c>
      <c r="L31" s="136">
        <f t="shared" ca="1" si="9"/>
        <v>45370.105896420064</v>
      </c>
      <c r="M31" s="138">
        <f t="shared" ca="1" si="10"/>
        <v>3022159.6815744699</v>
      </c>
      <c r="N31" s="73">
        <f t="shared" ca="1" si="11"/>
        <v>7.3865605248232382E-3</v>
      </c>
      <c r="O31" s="136">
        <f t="shared" ca="1" si="12"/>
        <v>22159.68157446972</v>
      </c>
    </row>
    <row r="32" spans="1:15" ht="16.5" customHeight="1">
      <c r="A32" s="147">
        <v>11</v>
      </c>
      <c r="B32" s="147" t="str">
        <f>TEXT(투자전략!$G$1+10, "[$-ko-KR]yyyy.mm.dd")</f>
        <v>2021.05.11</v>
      </c>
      <c r="C32" s="134">
        <f t="shared" ca="1" si="0"/>
        <v>3000000</v>
      </c>
      <c r="D32" s="138">
        <f t="shared" ca="1" si="1"/>
        <v>2792989.9459936251</v>
      </c>
      <c r="E32" s="73">
        <f t="shared" ca="1" si="2"/>
        <v>-6.9003351335458304E-2</v>
      </c>
      <c r="F32" s="136">
        <f t="shared" ca="1" si="3"/>
        <v>-207010.05400637494</v>
      </c>
      <c r="G32" s="138">
        <f t="shared" ca="1" si="4"/>
        <v>2898175.7702186247</v>
      </c>
      <c r="H32" s="73">
        <f t="shared" ca="1" si="5"/>
        <v>-3.3941409927125035E-2</v>
      </c>
      <c r="I32" s="136">
        <f t="shared" ca="1" si="6"/>
        <v>-101824.22978137511</v>
      </c>
      <c r="J32" s="138">
        <f t="shared" ca="1" si="7"/>
        <v>2923188.9934522812</v>
      </c>
      <c r="K32" s="73">
        <f t="shared" ca="1" si="8"/>
        <v>-2.5603668849239626E-2</v>
      </c>
      <c r="L32" s="136">
        <f t="shared" ca="1" si="9"/>
        <v>-76811.006547718862</v>
      </c>
      <c r="M32" s="138">
        <f t="shared" ca="1" si="10"/>
        <v>2908549.0169540797</v>
      </c>
      <c r="N32" s="73">
        <f t="shared" ca="1" si="11"/>
        <v>-3.0483661015306751E-2</v>
      </c>
      <c r="O32" s="136">
        <f t="shared" ca="1" si="12"/>
        <v>-91450.983045920249</v>
      </c>
    </row>
    <row r="33" spans="1:15" ht="16.5" customHeight="1">
      <c r="A33" s="147">
        <v>12</v>
      </c>
      <c r="B33" s="147" t="str">
        <f>TEXT(투자전략!$G$1+11, "[$-ko-KR]yyyy.mm.dd")</f>
        <v>2021.05.12</v>
      </c>
      <c r="C33" s="134">
        <f t="shared" ca="1" si="0"/>
        <v>3000000</v>
      </c>
      <c r="D33" s="138">
        <f t="shared" ca="1" si="1"/>
        <v>3084252.176437628</v>
      </c>
      <c r="E33" s="73">
        <f t="shared" ca="1" si="2"/>
        <v>2.8084058812542601E-2</v>
      </c>
      <c r="F33" s="136">
        <f t="shared" ca="1" si="3"/>
        <v>84252.176437627815</v>
      </c>
      <c r="G33" s="138">
        <f t="shared" ca="1" si="4"/>
        <v>3063567.3008843879</v>
      </c>
      <c r="H33" s="73">
        <f t="shared" ca="1" si="5"/>
        <v>2.1189100294795961E-2</v>
      </c>
      <c r="I33" s="136">
        <f t="shared" ca="1" si="6"/>
        <v>63567.300884387907</v>
      </c>
      <c r="J33" s="138">
        <f t="shared" ca="1" si="7"/>
        <v>3093005.2288917913</v>
      </c>
      <c r="K33" s="73">
        <f t="shared" ca="1" si="8"/>
        <v>3.1001742963930445E-2</v>
      </c>
      <c r="L33" s="136">
        <f t="shared" ca="1" si="9"/>
        <v>93005.228891791325</v>
      </c>
      <c r="M33" s="138">
        <f t="shared" ca="1" si="10"/>
        <v>2960394.0707102548</v>
      </c>
      <c r="N33" s="73">
        <f t="shared" ca="1" si="11"/>
        <v>-1.3201976429915042E-2</v>
      </c>
      <c r="O33" s="136">
        <f t="shared" ca="1" si="12"/>
        <v>-39605.929289745131</v>
      </c>
    </row>
    <row r="34" spans="1:15" ht="16.5" customHeight="1">
      <c r="A34" s="147">
        <v>13</v>
      </c>
      <c r="B34" s="147" t="str">
        <f>TEXT(투자전략!$G$1+12, "[$-ko-KR]yyyy.mm.dd")</f>
        <v>2021.05.13</v>
      </c>
      <c r="C34" s="134">
        <f t="shared" ca="1" si="0"/>
        <v>3000000</v>
      </c>
      <c r="D34" s="138">
        <f t="shared" ca="1" si="1"/>
        <v>2731543.2886479152</v>
      </c>
      <c r="E34" s="73">
        <f t="shared" ca="1" si="2"/>
        <v>-8.9485570450694885E-2</v>
      </c>
      <c r="F34" s="136">
        <f t="shared" ca="1" si="3"/>
        <v>-268456.71135208471</v>
      </c>
      <c r="G34" s="138">
        <f t="shared" ca="1" si="4"/>
        <v>2624853.1078180918</v>
      </c>
      <c r="H34" s="73">
        <f t="shared" ca="1" si="5"/>
        <v>-0.12504896406063606</v>
      </c>
      <c r="I34" s="136">
        <f t="shared" ca="1" si="6"/>
        <v>-375146.89218190819</v>
      </c>
      <c r="J34" s="138">
        <f t="shared" ca="1" si="7"/>
        <v>2669353.1996011301</v>
      </c>
      <c r="K34" s="73">
        <f t="shared" ca="1" si="8"/>
        <v>-0.11021560013295661</v>
      </c>
      <c r="L34" s="136">
        <f t="shared" ca="1" si="9"/>
        <v>-330646.80039886979</v>
      </c>
      <c r="M34" s="138">
        <f t="shared" ca="1" si="10"/>
        <v>2661152.1427793242</v>
      </c>
      <c r="N34" s="73">
        <f t="shared" ca="1" si="11"/>
        <v>-0.11294928574022531</v>
      </c>
      <c r="O34" s="136">
        <f t="shared" ca="1" si="12"/>
        <v>-338847.85722067603</v>
      </c>
    </row>
    <row r="35" spans="1:15" ht="16.5" customHeight="1" thickBot="1">
      <c r="A35" s="146">
        <v>14</v>
      </c>
      <c r="B35" s="146" t="str">
        <f>TEXT(투자전략!$G$1+13, "[$-ko-KR]yyyy.mm.dd")</f>
        <v>2021.05.14</v>
      </c>
      <c r="C35" s="135">
        <f t="shared" ca="1" si="0"/>
        <v>3000000</v>
      </c>
      <c r="D35" s="139">
        <f t="shared" ca="1" si="1"/>
        <v>3044925.5444928668</v>
      </c>
      <c r="E35" s="75">
        <f t="shared" ca="1" si="2"/>
        <v>1.4975181497622309E-2</v>
      </c>
      <c r="F35" s="137">
        <f t="shared" ca="1" si="3"/>
        <v>44925.544492866924</v>
      </c>
      <c r="G35" s="139">
        <f t="shared" ca="1" si="4"/>
        <v>3069993.2895598975</v>
      </c>
      <c r="H35" s="75">
        <f t="shared" ca="1" si="5"/>
        <v>2.3331096519965719E-2</v>
      </c>
      <c r="I35" s="137">
        <f t="shared" ca="1" si="6"/>
        <v>69993.289559897123</v>
      </c>
      <c r="J35" s="139">
        <f t="shared" ca="1" si="7"/>
        <v>3064360.5996267917</v>
      </c>
      <c r="K35" s="75">
        <f t="shared" ca="1" si="8"/>
        <v>2.1453533208930436E-2</v>
      </c>
      <c r="L35" s="137">
        <f t="shared" ca="1" si="9"/>
        <v>64360.599626791314</v>
      </c>
      <c r="M35" s="139">
        <f t="shared" ca="1" si="10"/>
        <v>3055845.1157711004</v>
      </c>
      <c r="N35" s="75">
        <f t="shared" ca="1" si="11"/>
        <v>1.8615038590366832E-2</v>
      </c>
      <c r="O35" s="137">
        <f t="shared" ca="1" si="12"/>
        <v>55845.115771100514</v>
      </c>
    </row>
    <row r="36" spans="1:15" ht="16.5" customHeight="1">
      <c r="A36" s="145">
        <v>15</v>
      </c>
      <c r="B36" s="145" t="str">
        <f>TEXT(투자전략!$G$1+14, "[$-ko-KR]yyyy.mm.dd")</f>
        <v>2021.05.15</v>
      </c>
      <c r="C36" s="133">
        <f t="shared" ca="1" si="0"/>
        <v>2700000</v>
      </c>
      <c r="D36" s="141">
        <f t="shared" ca="1" si="1"/>
        <v>2794106.945397479</v>
      </c>
      <c r="E36" s="72">
        <f t="shared" ca="1" si="2"/>
        <v>3.4854424221288559E-2</v>
      </c>
      <c r="F36" s="140">
        <f t="shared" ca="1" si="3"/>
        <v>94106.94539747911</v>
      </c>
      <c r="G36" s="141">
        <f t="shared" ca="1" si="4"/>
        <v>2694132.2322786176</v>
      </c>
      <c r="H36" s="72">
        <f t="shared" ca="1" si="5"/>
        <v>-2.173247304215759E-3</v>
      </c>
      <c r="I36" s="140">
        <f t="shared" ca="1" si="6"/>
        <v>-5867.7677213825473</v>
      </c>
      <c r="J36" s="141">
        <f t="shared" ca="1" si="7"/>
        <v>2717863.9491859148</v>
      </c>
      <c r="K36" s="72">
        <f t="shared" ca="1" si="8"/>
        <v>6.6162774762648282E-3</v>
      </c>
      <c r="L36" s="140">
        <f t="shared" ca="1" si="9"/>
        <v>17863.949185915033</v>
      </c>
      <c r="M36" s="141">
        <f t="shared" ca="1" si="10"/>
        <v>2710262.421481071</v>
      </c>
      <c r="N36" s="72">
        <f t="shared" ca="1" si="11"/>
        <v>3.8008968448410355E-3</v>
      </c>
      <c r="O36" s="140">
        <f t="shared" ca="1" si="12"/>
        <v>10262.421481070794</v>
      </c>
    </row>
    <row r="37" spans="1:15" ht="16.5" customHeight="1">
      <c r="A37" s="147">
        <v>16</v>
      </c>
      <c r="B37" s="147" t="str">
        <f>TEXT(투자전략!$G$1+15, "[$-ko-KR]yyyy.mm.dd")</f>
        <v>2021.05.16</v>
      </c>
      <c r="C37" s="134">
        <f t="shared" ca="1" si="0"/>
        <v>2400000</v>
      </c>
      <c r="D37" s="138">
        <f t="shared" ca="1" si="1"/>
        <v>2400000</v>
      </c>
      <c r="E37" s="73">
        <f t="shared" ca="1" si="2"/>
        <v>0</v>
      </c>
      <c r="F37" s="136">
        <f t="shared" ca="1" si="3"/>
        <v>0</v>
      </c>
      <c r="G37" s="138">
        <f t="shared" ca="1" si="4"/>
        <v>2400000</v>
      </c>
      <c r="H37" s="73">
        <f t="shared" ca="1" si="5"/>
        <v>0</v>
      </c>
      <c r="I37" s="136">
        <f t="shared" ca="1" si="6"/>
        <v>0</v>
      </c>
      <c r="J37" s="138">
        <f t="shared" ca="1" si="7"/>
        <v>2400000</v>
      </c>
      <c r="K37" s="73">
        <f t="shared" ca="1" si="8"/>
        <v>0</v>
      </c>
      <c r="L37" s="136">
        <f t="shared" ca="1" si="9"/>
        <v>0</v>
      </c>
      <c r="M37" s="138">
        <f t="shared" ca="1" si="10"/>
        <v>2400000</v>
      </c>
      <c r="N37" s="73">
        <f t="shared" ca="1" si="11"/>
        <v>0</v>
      </c>
      <c r="O37" s="136">
        <f t="shared" ca="1" si="12"/>
        <v>0</v>
      </c>
    </row>
    <row r="38" spans="1:15" ht="16.5" customHeight="1">
      <c r="A38" s="147">
        <v>17</v>
      </c>
      <c r="B38" s="147" t="str">
        <f>TEXT(투자전략!$G$1+16, "[$-ko-KR]yyyy.mm.dd")</f>
        <v>2021.05.17</v>
      </c>
      <c r="C38" s="134" t="str">
        <f t="shared" ca="1" si="0"/>
        <v/>
      </c>
      <c r="D38" s="138" t="str">
        <f t="shared" ca="1" si="1"/>
        <v/>
      </c>
      <c r="E38" s="73" t="str">
        <f t="shared" ca="1" si="2"/>
        <v/>
      </c>
      <c r="F38" s="136" t="str">
        <f t="shared" ca="1" si="3"/>
        <v/>
      </c>
      <c r="G38" s="138" t="str">
        <f t="shared" ca="1" si="4"/>
        <v/>
      </c>
      <c r="H38" s="73" t="str">
        <f t="shared" ca="1" si="5"/>
        <v/>
      </c>
      <c r="I38" s="136" t="str">
        <f t="shared" ca="1" si="6"/>
        <v/>
      </c>
      <c r="J38" s="138" t="str">
        <f t="shared" ca="1" si="7"/>
        <v/>
      </c>
      <c r="K38" s="73" t="str">
        <f t="shared" ca="1" si="8"/>
        <v/>
      </c>
      <c r="L38" s="136" t="str">
        <f t="shared" ca="1" si="9"/>
        <v/>
      </c>
      <c r="M38" s="138" t="str">
        <f t="shared" ca="1" si="10"/>
        <v/>
      </c>
      <c r="N38" s="73" t="str">
        <f t="shared" ca="1" si="11"/>
        <v/>
      </c>
      <c r="O38" s="136" t="str">
        <f t="shared" ca="1" si="12"/>
        <v/>
      </c>
    </row>
    <row r="39" spans="1:15" ht="16.5" customHeight="1">
      <c r="A39" s="147">
        <v>18</v>
      </c>
      <c r="B39" s="147" t="str">
        <f>TEXT(투자전략!$G$1+17, "[$-ko-KR]yyyy.mm.dd")</f>
        <v>2021.05.18</v>
      </c>
      <c r="C39" s="134" t="str">
        <f t="shared" ca="1" si="0"/>
        <v/>
      </c>
      <c r="D39" s="138" t="str">
        <f t="shared" ca="1" si="1"/>
        <v/>
      </c>
      <c r="E39" s="73" t="str">
        <f t="shared" ca="1" si="2"/>
        <v/>
      </c>
      <c r="F39" s="136" t="str">
        <f t="shared" ca="1" si="3"/>
        <v/>
      </c>
      <c r="G39" s="138" t="str">
        <f t="shared" ca="1" si="4"/>
        <v/>
      </c>
      <c r="H39" s="73" t="str">
        <f t="shared" ca="1" si="5"/>
        <v/>
      </c>
      <c r="I39" s="136" t="str">
        <f t="shared" ca="1" si="6"/>
        <v/>
      </c>
      <c r="J39" s="138" t="str">
        <f t="shared" ca="1" si="7"/>
        <v/>
      </c>
      <c r="K39" s="73" t="str">
        <f t="shared" ca="1" si="8"/>
        <v/>
      </c>
      <c r="L39" s="136" t="str">
        <f t="shared" ca="1" si="9"/>
        <v/>
      </c>
      <c r="M39" s="138" t="str">
        <f t="shared" ca="1" si="10"/>
        <v/>
      </c>
      <c r="N39" s="73" t="str">
        <f t="shared" ca="1" si="11"/>
        <v/>
      </c>
      <c r="O39" s="136" t="str">
        <f t="shared" ca="1" si="12"/>
        <v/>
      </c>
    </row>
    <row r="40" spans="1:15" ht="16.5" customHeight="1">
      <c r="A40" s="147">
        <v>19</v>
      </c>
      <c r="B40" s="147" t="str">
        <f>TEXT(투자전략!$G$1+18, "[$-ko-KR]yyyy.mm.dd")</f>
        <v>2021.05.19</v>
      </c>
      <c r="C40" s="134" t="str">
        <f t="shared" ca="1" si="0"/>
        <v/>
      </c>
      <c r="D40" s="138" t="str">
        <f t="shared" ca="1" si="1"/>
        <v/>
      </c>
      <c r="E40" s="73" t="str">
        <f t="shared" ca="1" si="2"/>
        <v/>
      </c>
      <c r="F40" s="136" t="str">
        <f t="shared" ca="1" si="3"/>
        <v/>
      </c>
      <c r="G40" s="138" t="str">
        <f t="shared" ca="1" si="4"/>
        <v/>
      </c>
      <c r="H40" s="73" t="str">
        <f t="shared" ca="1" si="5"/>
        <v/>
      </c>
      <c r="I40" s="136" t="str">
        <f t="shared" ca="1" si="6"/>
        <v/>
      </c>
      <c r="J40" s="138" t="str">
        <f t="shared" ca="1" si="7"/>
        <v/>
      </c>
      <c r="K40" s="73" t="str">
        <f t="shared" ca="1" si="8"/>
        <v/>
      </c>
      <c r="L40" s="136" t="str">
        <f t="shared" ca="1" si="9"/>
        <v/>
      </c>
      <c r="M40" s="138" t="str">
        <f t="shared" ca="1" si="10"/>
        <v/>
      </c>
      <c r="N40" s="73" t="str">
        <f t="shared" ca="1" si="11"/>
        <v/>
      </c>
      <c r="O40" s="136" t="str">
        <f t="shared" ca="1" si="12"/>
        <v/>
      </c>
    </row>
    <row r="41" spans="1:15" ht="16.5" customHeight="1">
      <c r="A41" s="147">
        <v>20</v>
      </c>
      <c r="B41" s="147" t="str">
        <f>TEXT(투자전략!$G$1+19, "[$-ko-KR]yyyy.mm.dd")</f>
        <v>2021.05.20</v>
      </c>
      <c r="C41" s="134" t="str">
        <f t="shared" ca="1" si="0"/>
        <v/>
      </c>
      <c r="D41" s="138" t="str">
        <f t="shared" ca="1" si="1"/>
        <v/>
      </c>
      <c r="E41" s="73" t="str">
        <f t="shared" ca="1" si="2"/>
        <v/>
      </c>
      <c r="F41" s="136" t="str">
        <f t="shared" ca="1" si="3"/>
        <v/>
      </c>
      <c r="G41" s="138" t="str">
        <f t="shared" ca="1" si="4"/>
        <v/>
      </c>
      <c r="H41" s="73" t="str">
        <f t="shared" ca="1" si="5"/>
        <v/>
      </c>
      <c r="I41" s="136" t="str">
        <f t="shared" ca="1" si="6"/>
        <v/>
      </c>
      <c r="J41" s="138" t="str">
        <f t="shared" ca="1" si="7"/>
        <v/>
      </c>
      <c r="K41" s="73" t="str">
        <f t="shared" ca="1" si="8"/>
        <v/>
      </c>
      <c r="L41" s="136" t="str">
        <f t="shared" ca="1" si="9"/>
        <v/>
      </c>
      <c r="M41" s="138" t="str">
        <f t="shared" ca="1" si="10"/>
        <v/>
      </c>
      <c r="N41" s="73" t="str">
        <f t="shared" ca="1" si="11"/>
        <v/>
      </c>
      <c r="O41" s="136" t="str">
        <f t="shared" ca="1" si="12"/>
        <v/>
      </c>
    </row>
    <row r="42" spans="1:15" ht="16.5" customHeight="1" thickBot="1">
      <c r="A42" s="146">
        <v>21</v>
      </c>
      <c r="B42" s="146" t="str">
        <f>TEXT(투자전략!$G$1+20, "[$-ko-KR]yyyy.mm.dd")</f>
        <v>2021.05.21</v>
      </c>
      <c r="C42" s="135" t="str">
        <f t="shared" ca="1" si="0"/>
        <v/>
      </c>
      <c r="D42" s="139" t="str">
        <f t="shared" ca="1" si="1"/>
        <v/>
      </c>
      <c r="E42" s="75" t="str">
        <f t="shared" ca="1" si="2"/>
        <v/>
      </c>
      <c r="F42" s="137" t="str">
        <f t="shared" ca="1" si="3"/>
        <v/>
      </c>
      <c r="G42" s="139" t="str">
        <f t="shared" ca="1" si="4"/>
        <v/>
      </c>
      <c r="H42" s="75" t="str">
        <f t="shared" ca="1" si="5"/>
        <v/>
      </c>
      <c r="I42" s="137" t="str">
        <f t="shared" ca="1" si="6"/>
        <v/>
      </c>
      <c r="J42" s="139" t="str">
        <f t="shared" ca="1" si="7"/>
        <v/>
      </c>
      <c r="K42" s="75" t="str">
        <f t="shared" ca="1" si="8"/>
        <v/>
      </c>
      <c r="L42" s="137" t="str">
        <f t="shared" ca="1" si="9"/>
        <v/>
      </c>
      <c r="M42" s="139" t="str">
        <f t="shared" ca="1" si="10"/>
        <v/>
      </c>
      <c r="N42" s="75" t="str">
        <f t="shared" ca="1" si="11"/>
        <v/>
      </c>
      <c r="O42" s="137" t="str">
        <f t="shared" ca="1" si="12"/>
        <v/>
      </c>
    </row>
    <row r="43" spans="1:15" ht="16.5" customHeight="1">
      <c r="A43" s="145">
        <v>22</v>
      </c>
      <c r="B43" s="145" t="str">
        <f>TEXT(투자전략!$G$1+21, "[$-ko-KR]yyyy.mm.dd")</f>
        <v>2021.05.22</v>
      </c>
      <c r="C43" s="133" t="str">
        <f t="shared" ca="1" si="0"/>
        <v/>
      </c>
      <c r="D43" s="141" t="str">
        <f t="shared" ca="1" si="1"/>
        <v/>
      </c>
      <c r="E43" s="72" t="str">
        <f t="shared" ca="1" si="2"/>
        <v/>
      </c>
      <c r="F43" s="140" t="str">
        <f t="shared" ca="1" si="3"/>
        <v/>
      </c>
      <c r="G43" s="141" t="str">
        <f t="shared" ca="1" si="4"/>
        <v/>
      </c>
      <c r="H43" s="72" t="str">
        <f t="shared" ca="1" si="5"/>
        <v/>
      </c>
      <c r="I43" s="140" t="str">
        <f t="shared" ca="1" si="6"/>
        <v/>
      </c>
      <c r="J43" s="141" t="str">
        <f t="shared" ca="1" si="7"/>
        <v/>
      </c>
      <c r="K43" s="72" t="str">
        <f t="shared" ca="1" si="8"/>
        <v/>
      </c>
      <c r="L43" s="140" t="str">
        <f t="shared" ca="1" si="9"/>
        <v/>
      </c>
      <c r="M43" s="141" t="str">
        <f t="shared" ca="1" si="10"/>
        <v/>
      </c>
      <c r="N43" s="72" t="str">
        <f t="shared" ca="1" si="11"/>
        <v/>
      </c>
      <c r="O43" s="140" t="str">
        <f t="shared" ca="1" si="12"/>
        <v/>
      </c>
    </row>
    <row r="44" spans="1:15" ht="16.5" customHeight="1">
      <c r="A44" s="147">
        <v>23</v>
      </c>
      <c r="B44" s="147" t="str">
        <f>TEXT(투자전략!$G$1+22, "[$-ko-KR]yyyy.mm.dd")</f>
        <v>2021.05.23</v>
      </c>
      <c r="C44" s="134" t="str">
        <f t="shared" ca="1" si="0"/>
        <v/>
      </c>
      <c r="D44" s="138" t="str">
        <f t="shared" ca="1" si="1"/>
        <v/>
      </c>
      <c r="E44" s="73" t="str">
        <f t="shared" ca="1" si="2"/>
        <v/>
      </c>
      <c r="F44" s="136" t="str">
        <f t="shared" ca="1" si="3"/>
        <v/>
      </c>
      <c r="G44" s="138" t="str">
        <f t="shared" ca="1" si="4"/>
        <v/>
      </c>
      <c r="H44" s="73" t="str">
        <f t="shared" ca="1" si="5"/>
        <v/>
      </c>
      <c r="I44" s="136" t="str">
        <f t="shared" ca="1" si="6"/>
        <v/>
      </c>
      <c r="J44" s="138" t="str">
        <f t="shared" ca="1" si="7"/>
        <v/>
      </c>
      <c r="K44" s="73" t="str">
        <f t="shared" ca="1" si="8"/>
        <v/>
      </c>
      <c r="L44" s="136" t="str">
        <f t="shared" ca="1" si="9"/>
        <v/>
      </c>
      <c r="M44" s="138" t="str">
        <f t="shared" ca="1" si="10"/>
        <v/>
      </c>
      <c r="N44" s="73" t="str">
        <f t="shared" ca="1" si="11"/>
        <v/>
      </c>
      <c r="O44" s="136" t="str">
        <f t="shared" ca="1" si="12"/>
        <v/>
      </c>
    </row>
    <row r="45" spans="1:15" ht="16.5" customHeight="1">
      <c r="A45" s="147">
        <v>24</v>
      </c>
      <c r="B45" s="147" t="str">
        <f>TEXT(투자전략!$G$1+23, "[$-ko-KR]yyyy.mm.dd")</f>
        <v>2021.05.24</v>
      </c>
      <c r="C45" s="134" t="str">
        <f t="shared" ca="1" si="0"/>
        <v/>
      </c>
      <c r="D45" s="138" t="str">
        <f t="shared" ca="1" si="1"/>
        <v/>
      </c>
      <c r="E45" s="73" t="str">
        <f t="shared" ca="1" si="2"/>
        <v/>
      </c>
      <c r="F45" s="136" t="str">
        <f t="shared" ca="1" si="3"/>
        <v/>
      </c>
      <c r="G45" s="138" t="str">
        <f t="shared" ca="1" si="4"/>
        <v/>
      </c>
      <c r="H45" s="73" t="str">
        <f t="shared" ca="1" si="5"/>
        <v/>
      </c>
      <c r="I45" s="136" t="str">
        <f t="shared" ca="1" si="6"/>
        <v/>
      </c>
      <c r="J45" s="138" t="str">
        <f t="shared" ca="1" si="7"/>
        <v/>
      </c>
      <c r="K45" s="73" t="str">
        <f t="shared" ca="1" si="8"/>
        <v/>
      </c>
      <c r="L45" s="136" t="str">
        <f t="shared" ca="1" si="9"/>
        <v/>
      </c>
      <c r="M45" s="138" t="str">
        <f t="shared" ca="1" si="10"/>
        <v/>
      </c>
      <c r="N45" s="73" t="str">
        <f t="shared" ca="1" si="11"/>
        <v/>
      </c>
      <c r="O45" s="136" t="str">
        <f t="shared" ca="1" si="12"/>
        <v/>
      </c>
    </row>
    <row r="46" spans="1:15" ht="16.5" customHeight="1">
      <c r="A46" s="147">
        <v>25</v>
      </c>
      <c r="B46" s="147" t="str">
        <f>TEXT(투자전략!$G$1+24, "[$-ko-KR]yyyy.mm.dd")</f>
        <v>2021.05.25</v>
      </c>
      <c r="C46" s="134" t="str">
        <f t="shared" ca="1" si="0"/>
        <v/>
      </c>
      <c r="D46" s="138" t="str">
        <f t="shared" ca="1" si="1"/>
        <v/>
      </c>
      <c r="E46" s="73" t="str">
        <f t="shared" ca="1" si="2"/>
        <v/>
      </c>
      <c r="F46" s="136" t="str">
        <f t="shared" ca="1" si="3"/>
        <v/>
      </c>
      <c r="G46" s="138" t="str">
        <f t="shared" ca="1" si="4"/>
        <v/>
      </c>
      <c r="H46" s="73" t="str">
        <f t="shared" ca="1" si="5"/>
        <v/>
      </c>
      <c r="I46" s="136" t="str">
        <f t="shared" ca="1" si="6"/>
        <v/>
      </c>
      <c r="J46" s="138" t="str">
        <f t="shared" ca="1" si="7"/>
        <v/>
      </c>
      <c r="K46" s="73" t="str">
        <f t="shared" ca="1" si="8"/>
        <v/>
      </c>
      <c r="L46" s="136" t="str">
        <f t="shared" ca="1" si="9"/>
        <v/>
      </c>
      <c r="M46" s="138" t="str">
        <f t="shared" ca="1" si="10"/>
        <v/>
      </c>
      <c r="N46" s="73" t="str">
        <f t="shared" ca="1" si="11"/>
        <v/>
      </c>
      <c r="O46" s="136" t="str">
        <f t="shared" ca="1" si="12"/>
        <v/>
      </c>
    </row>
    <row r="47" spans="1:15" ht="16.5" customHeight="1">
      <c r="A47" s="147">
        <v>26</v>
      </c>
      <c r="B47" s="147" t="str">
        <f>TEXT(투자전략!$G$1+25, "[$-ko-KR]yyyy.mm.dd")</f>
        <v>2021.05.26</v>
      </c>
      <c r="C47" s="134" t="str">
        <f t="shared" ca="1" si="0"/>
        <v/>
      </c>
      <c r="D47" s="138" t="str">
        <f t="shared" ca="1" si="1"/>
        <v/>
      </c>
      <c r="E47" s="73" t="str">
        <f t="shared" ca="1" si="2"/>
        <v/>
      </c>
      <c r="F47" s="136" t="str">
        <f t="shared" ca="1" si="3"/>
        <v/>
      </c>
      <c r="G47" s="138" t="str">
        <f t="shared" ca="1" si="4"/>
        <v/>
      </c>
      <c r="H47" s="73" t="str">
        <f t="shared" ca="1" si="5"/>
        <v/>
      </c>
      <c r="I47" s="136" t="str">
        <f t="shared" ca="1" si="6"/>
        <v/>
      </c>
      <c r="J47" s="138" t="str">
        <f t="shared" ca="1" si="7"/>
        <v/>
      </c>
      <c r="K47" s="73" t="str">
        <f t="shared" ca="1" si="8"/>
        <v/>
      </c>
      <c r="L47" s="136" t="str">
        <f t="shared" ca="1" si="9"/>
        <v/>
      </c>
      <c r="M47" s="138" t="str">
        <f t="shared" ca="1" si="10"/>
        <v/>
      </c>
      <c r="N47" s="73" t="str">
        <f t="shared" ca="1" si="11"/>
        <v/>
      </c>
      <c r="O47" s="136" t="str">
        <f t="shared" ca="1" si="12"/>
        <v/>
      </c>
    </row>
    <row r="48" spans="1:15" ht="16.5" customHeight="1">
      <c r="A48" s="147">
        <v>27</v>
      </c>
      <c r="B48" s="147" t="str">
        <f>TEXT(투자전략!$G$1+26, "[$-ko-KR]yyyy.mm.dd")</f>
        <v>2021.05.27</v>
      </c>
      <c r="C48" s="134" t="str">
        <f t="shared" ca="1" si="0"/>
        <v/>
      </c>
      <c r="D48" s="138" t="str">
        <f t="shared" ca="1" si="1"/>
        <v/>
      </c>
      <c r="E48" s="73" t="str">
        <f t="shared" ca="1" si="2"/>
        <v/>
      </c>
      <c r="F48" s="136" t="str">
        <f t="shared" ca="1" si="3"/>
        <v/>
      </c>
      <c r="G48" s="138" t="str">
        <f t="shared" ca="1" si="4"/>
        <v/>
      </c>
      <c r="H48" s="73" t="str">
        <f t="shared" ca="1" si="5"/>
        <v/>
      </c>
      <c r="I48" s="136" t="str">
        <f t="shared" ca="1" si="6"/>
        <v/>
      </c>
      <c r="J48" s="138" t="str">
        <f t="shared" ca="1" si="7"/>
        <v/>
      </c>
      <c r="K48" s="73" t="str">
        <f t="shared" ca="1" si="8"/>
        <v/>
      </c>
      <c r="L48" s="136" t="str">
        <f t="shared" ca="1" si="9"/>
        <v/>
      </c>
      <c r="M48" s="138" t="str">
        <f t="shared" ca="1" si="10"/>
        <v/>
      </c>
      <c r="N48" s="73" t="str">
        <f t="shared" ca="1" si="11"/>
        <v/>
      </c>
      <c r="O48" s="136" t="str">
        <f t="shared" ca="1" si="12"/>
        <v/>
      </c>
    </row>
    <row r="49" spans="1:15" ht="16.5" customHeight="1" thickBot="1">
      <c r="A49" s="146">
        <v>28</v>
      </c>
      <c r="B49" s="146" t="str">
        <f>TEXT(투자전략!$G$1+27, "[$-ko-KR]yyyy.mm.dd")</f>
        <v>2021.05.28</v>
      </c>
      <c r="C49" s="135" t="str">
        <f t="shared" ca="1" si="0"/>
        <v/>
      </c>
      <c r="D49" s="139" t="str">
        <f t="shared" ca="1" si="1"/>
        <v/>
      </c>
      <c r="E49" s="75" t="str">
        <f t="shared" ca="1" si="2"/>
        <v/>
      </c>
      <c r="F49" s="137" t="str">
        <f t="shared" ca="1" si="3"/>
        <v/>
      </c>
      <c r="G49" s="139" t="str">
        <f t="shared" ca="1" si="4"/>
        <v/>
      </c>
      <c r="H49" s="75" t="str">
        <f t="shared" ca="1" si="5"/>
        <v/>
      </c>
      <c r="I49" s="137" t="str">
        <f t="shared" ca="1" si="6"/>
        <v/>
      </c>
      <c r="J49" s="139" t="str">
        <f t="shared" ca="1" si="7"/>
        <v/>
      </c>
      <c r="K49" s="75" t="str">
        <f t="shared" ca="1" si="8"/>
        <v/>
      </c>
      <c r="L49" s="137" t="str">
        <f t="shared" ca="1" si="9"/>
        <v/>
      </c>
      <c r="M49" s="139" t="str">
        <f t="shared" ca="1" si="10"/>
        <v/>
      </c>
      <c r="N49" s="75" t="str">
        <f t="shared" ca="1" si="11"/>
        <v/>
      </c>
      <c r="O49" s="137" t="str">
        <f t="shared" ca="1" si="12"/>
        <v/>
      </c>
    </row>
    <row r="50" spans="1:15" ht="16.5" customHeight="1">
      <c r="A50" s="120">
        <v>29</v>
      </c>
      <c r="B50" s="145" t="str">
        <f>TEXT(투자전략!$G$1+28, "[$-ko-KR]yyyy.mm.dd")</f>
        <v>2021.05.29</v>
      </c>
      <c r="C50" s="134" t="str">
        <f t="shared" ca="1" si="0"/>
        <v/>
      </c>
      <c r="D50" s="138" t="str">
        <f t="shared" ca="1" si="1"/>
        <v/>
      </c>
      <c r="E50" s="73" t="str">
        <f t="shared" ca="1" si="2"/>
        <v/>
      </c>
      <c r="F50" s="136" t="str">
        <f t="shared" ca="1" si="3"/>
        <v/>
      </c>
      <c r="G50" s="138" t="str">
        <f t="shared" ca="1" si="4"/>
        <v/>
      </c>
      <c r="H50" s="73" t="str">
        <f t="shared" ca="1" si="5"/>
        <v/>
      </c>
      <c r="I50" s="136" t="str">
        <f t="shared" ca="1" si="6"/>
        <v/>
      </c>
      <c r="J50" s="138" t="str">
        <f t="shared" ca="1" si="7"/>
        <v/>
      </c>
      <c r="K50" s="73" t="str">
        <f t="shared" ca="1" si="8"/>
        <v/>
      </c>
      <c r="L50" s="136" t="str">
        <f t="shared" ca="1" si="9"/>
        <v/>
      </c>
      <c r="M50" s="138" t="str">
        <f t="shared" ca="1" si="10"/>
        <v/>
      </c>
      <c r="N50" s="73" t="str">
        <f t="shared" ca="1" si="11"/>
        <v/>
      </c>
      <c r="O50" s="136" t="str">
        <f t="shared" ca="1" si="12"/>
        <v/>
      </c>
    </row>
    <row r="51" spans="1:15" ht="16.5" customHeight="1">
      <c r="A51" s="120">
        <v>30</v>
      </c>
      <c r="B51" s="147" t="str">
        <f>TEXT(투자전략!$G$1+29, "[$-ko-KR]yyyy.mm.dd")</f>
        <v>2021.05.30</v>
      </c>
      <c r="C51" s="134" t="str">
        <f t="shared" ca="1" si="0"/>
        <v/>
      </c>
      <c r="D51" s="138" t="str">
        <f t="shared" ca="1" si="1"/>
        <v/>
      </c>
      <c r="E51" s="73" t="str">
        <f t="shared" ca="1" si="2"/>
        <v/>
      </c>
      <c r="F51" s="136" t="str">
        <f t="shared" ca="1" si="3"/>
        <v/>
      </c>
      <c r="G51" s="138" t="str">
        <f t="shared" ca="1" si="4"/>
        <v/>
      </c>
      <c r="H51" s="73" t="str">
        <f t="shared" ca="1" si="5"/>
        <v/>
      </c>
      <c r="I51" s="136" t="str">
        <f t="shared" ca="1" si="6"/>
        <v/>
      </c>
      <c r="J51" s="138" t="str">
        <f t="shared" ca="1" si="7"/>
        <v/>
      </c>
      <c r="K51" s="73" t="str">
        <f t="shared" ca="1" si="8"/>
        <v/>
      </c>
      <c r="L51" s="136" t="str">
        <f t="shared" ca="1" si="9"/>
        <v/>
      </c>
      <c r="M51" s="138" t="str">
        <f t="shared" ca="1" si="10"/>
        <v/>
      </c>
      <c r="N51" s="73" t="str">
        <f t="shared" ca="1" si="11"/>
        <v/>
      </c>
      <c r="O51" s="136" t="str">
        <f t="shared" ca="1" si="12"/>
        <v/>
      </c>
    </row>
    <row r="52" spans="1:15" ht="16.5" customHeight="1" thickBot="1">
      <c r="A52" s="120">
        <v>31</v>
      </c>
      <c r="B52" s="147" t="str">
        <f>TEXT(투자전략!$G$1+30, "[$-ko-KR]yyyy.mm.dd")</f>
        <v>2021.05.31</v>
      </c>
      <c r="C52" s="134" t="str">
        <f t="shared" ca="1" si="0"/>
        <v/>
      </c>
      <c r="D52" s="138" t="str">
        <f t="shared" ca="1" si="1"/>
        <v/>
      </c>
      <c r="E52" s="73" t="str">
        <f t="shared" ca="1" si="2"/>
        <v/>
      </c>
      <c r="F52" s="136" t="str">
        <f t="shared" ca="1" si="3"/>
        <v/>
      </c>
      <c r="G52" s="138" t="str">
        <f t="shared" ca="1" si="4"/>
        <v/>
      </c>
      <c r="H52" s="73" t="str">
        <f t="shared" ca="1" si="5"/>
        <v/>
      </c>
      <c r="I52" s="136" t="str">
        <f t="shared" ca="1" si="6"/>
        <v/>
      </c>
      <c r="J52" s="138" t="str">
        <f t="shared" ca="1" si="7"/>
        <v/>
      </c>
      <c r="K52" s="73" t="str">
        <f t="shared" ca="1" si="8"/>
        <v/>
      </c>
      <c r="L52" s="136" t="str">
        <f t="shared" ca="1" si="9"/>
        <v/>
      </c>
      <c r="M52" s="138" t="str">
        <f t="shared" ca="1" si="10"/>
        <v/>
      </c>
      <c r="N52" s="73" t="str">
        <f t="shared" ca="1" si="11"/>
        <v/>
      </c>
      <c r="O52" s="136" t="str">
        <f t="shared" ca="1" si="12"/>
        <v/>
      </c>
    </row>
    <row r="53" spans="1:15" ht="16.5" customHeight="1" thickBot="1">
      <c r="A53" s="258" t="s">
        <v>319</v>
      </c>
      <c r="B53" s="260"/>
      <c r="C53" s="131" t="s">
        <v>314</v>
      </c>
      <c r="D53" s="142" t="s">
        <v>315</v>
      </c>
      <c r="E53" s="143" t="s">
        <v>316</v>
      </c>
      <c r="F53" s="144" t="s">
        <v>317</v>
      </c>
      <c r="G53" s="142" t="s">
        <v>315</v>
      </c>
      <c r="H53" s="143" t="s">
        <v>316</v>
      </c>
      <c r="I53" s="144" t="s">
        <v>317</v>
      </c>
      <c r="J53" s="142" t="s">
        <v>315</v>
      </c>
      <c r="K53" s="143" t="s">
        <v>316</v>
      </c>
      <c r="L53" s="144" t="s">
        <v>317</v>
      </c>
      <c r="M53" s="142" t="s">
        <v>315</v>
      </c>
      <c r="N53" s="143" t="s">
        <v>316</v>
      </c>
      <c r="O53" s="144" t="s">
        <v>317</v>
      </c>
    </row>
    <row r="54" spans="1:15" ht="16.5" customHeight="1" thickBot="1">
      <c r="A54" s="264"/>
      <c r="B54" s="266"/>
      <c r="C54" s="135">
        <f ca="1">SUM(C22:C52)</f>
        <v>38100000</v>
      </c>
      <c r="D54" s="139">
        <f ca="1">SUM(D22:D52)</f>
        <v>38048421.038100965</v>
      </c>
      <c r="E54" s="75">
        <f ca="1">IFERROR(F54 / (SUM($C22:$C52) / COUNT($C22:$C52)), 0)</f>
        <v>-2.1660456440539388E-2</v>
      </c>
      <c r="F54" s="137">
        <f ca="1">SUM(F22:F52)</f>
        <v>-51578.961899034417</v>
      </c>
      <c r="G54" s="139">
        <f ca="1">SUM(G22:G52)</f>
        <v>38124840.39064578</v>
      </c>
      <c r="H54" s="75">
        <f ca="1">IFERROR(I54 / (SUM($C22:$C52) / COUNT($C22:$C52)), 0)</f>
        <v>1.043166011371177E-2</v>
      </c>
      <c r="I54" s="137">
        <f ca="1">SUM(I22:I52)</f>
        <v>24840.390645776151</v>
      </c>
      <c r="J54" s="139">
        <f ca="1">SUM(J22:J52)</f>
        <v>38307743.7614334</v>
      </c>
      <c r="K54" s="75">
        <f ca="1">IFERROR(L54 / (SUM($C22:$C52) / COUNT($C22:$C52)), 0)</f>
        <v>8.7241474617703263E-2</v>
      </c>
      <c r="L54" s="137">
        <f ca="1">SUM(L22:L52)</f>
        <v>207743.76143340589</v>
      </c>
      <c r="M54" s="139">
        <f ca="1">SUM(M22:M52)</f>
        <v>38105131.061263688</v>
      </c>
      <c r="N54" s="75">
        <f ca="1">IFERROR(O54 / (SUM($C22:$C52) / COUNT($C22:$C52)), 0)</f>
        <v>2.1547763837002965E-3</v>
      </c>
      <c r="O54" s="137">
        <f ca="1">SUM(O22:O52)</f>
        <v>5131.0612636863316</v>
      </c>
    </row>
    <row r="56" spans="1:15" ht="16.5" customHeight="1" thickBot="1"/>
    <row r="57" spans="1:15" ht="16.5" customHeight="1" thickBot="1">
      <c r="A57" s="249" t="str">
        <f>TEXT(투자전략!$G$1, "[$-ko-KR]yyyy년 mm월 ") &amp; "[엽전코인] 전일대비 상승률 Top20 월말결산"</f>
        <v>2021년 05월 [엽전코인] 전일대비 상승률 Top20 월말결산</v>
      </c>
      <c r="B57" s="250"/>
      <c r="C57" s="250"/>
      <c r="D57" s="250"/>
      <c r="E57" s="250"/>
      <c r="F57" s="250"/>
      <c r="G57" s="250"/>
      <c r="H57" s="250"/>
      <c r="I57" s="250"/>
      <c r="J57" s="250"/>
      <c r="K57" s="250"/>
      <c r="L57" s="250"/>
      <c r="M57" s="250"/>
      <c r="N57" s="250"/>
      <c r="O57" s="251"/>
    </row>
    <row r="58" spans="1:15" ht="16.5" customHeight="1" thickBot="1">
      <c r="A58" s="310" t="s">
        <v>320</v>
      </c>
      <c r="B58" s="264" t="s">
        <v>318</v>
      </c>
      <c r="C58" s="266"/>
      <c r="D58" s="264" t="s">
        <v>310</v>
      </c>
      <c r="E58" s="265"/>
      <c r="F58" s="266"/>
      <c r="G58" s="264" t="s">
        <v>311</v>
      </c>
      <c r="H58" s="265"/>
      <c r="I58" s="266"/>
      <c r="J58" s="264" t="s">
        <v>312</v>
      </c>
      <c r="K58" s="265"/>
      <c r="L58" s="266"/>
      <c r="M58" s="264" t="s">
        <v>313</v>
      </c>
      <c r="N58" s="265"/>
      <c r="O58" s="266"/>
    </row>
    <row r="59" spans="1:15" ht="16.5" customHeight="1" thickBot="1">
      <c r="A59" s="314"/>
      <c r="B59" s="156" t="s">
        <v>308</v>
      </c>
      <c r="C59" s="156" t="s">
        <v>42</v>
      </c>
      <c r="D59" s="120" t="s">
        <v>309</v>
      </c>
      <c r="E59" s="132" t="s">
        <v>40</v>
      </c>
      <c r="F59" s="158" t="s">
        <v>41</v>
      </c>
      <c r="G59" s="120" t="s">
        <v>309</v>
      </c>
      <c r="H59" s="132" t="s">
        <v>40</v>
      </c>
      <c r="I59" s="158" t="s">
        <v>41</v>
      </c>
      <c r="J59" s="120" t="s">
        <v>309</v>
      </c>
      <c r="K59" s="132" t="s">
        <v>40</v>
      </c>
      <c r="L59" s="158" t="s">
        <v>41</v>
      </c>
      <c r="M59" s="120" t="s">
        <v>309</v>
      </c>
      <c r="N59" s="132" t="s">
        <v>40</v>
      </c>
      <c r="O59" s="158" t="s">
        <v>41</v>
      </c>
    </row>
    <row r="60" spans="1:15" ht="16.5" customHeight="1">
      <c r="A60" s="156">
        <v>1</v>
      </c>
      <c r="B60" s="156" t="str">
        <f>TEXT(투자전략!$G$1+0, "[$-ko-KR]yyyy.mm.dd")</f>
        <v>2021.05.01</v>
      </c>
      <c r="C60" s="133">
        <f ca="1">IFERROR(COUNTA(INDIRECT($B60&amp;"!A44:A63")) * INDIRECT($B60&amp;"!B64"), "")</f>
        <v>5700000</v>
      </c>
      <c r="D60" s="141">
        <f ca="1">IFERROR($C60 * (1 + E60), "")</f>
        <v>5796967.8582712999</v>
      </c>
      <c r="E60" s="72">
        <f ca="1">IFERROR(INDIRECT($B60&amp;"!E64"), "")</f>
        <v>1.7011904959877054E-2</v>
      </c>
      <c r="F60" s="140">
        <f ca="1">IFERROR(INDIRECT($B60&amp;"!F64"), "")</f>
        <v>96967.858271299192</v>
      </c>
      <c r="G60" s="141">
        <f ca="1">IFERROR($C60 * (1 + H60), "")</f>
        <v>5762497.1388724633</v>
      </c>
      <c r="H60" s="72">
        <f ca="1">IFERROR(INDIRECT($B60&amp;"!H64"), "")</f>
        <v>1.0964410328502251E-2</v>
      </c>
      <c r="I60" s="140">
        <f ca="1">IFERROR(INDIRECT($B60&amp;"!I64"), "")</f>
        <v>62497.138872462834</v>
      </c>
      <c r="J60" s="141">
        <f ca="1">IFERROR($C60 * (1 + K60), "")</f>
        <v>5794168.1462707957</v>
      </c>
      <c r="K60" s="72">
        <f ca="1">IFERROR(INDIRECT($B60&amp;"!K64"), "")</f>
        <v>1.6520727415929037E-2</v>
      </c>
      <c r="L60" s="140">
        <f ca="1">IFERROR(INDIRECT($B60&amp;"!L64"), "")</f>
        <v>94168.146270795492</v>
      </c>
      <c r="M60" s="141">
        <f ca="1">IFERROR($C60 * (1 + N60), "")</f>
        <v>5791895.125992734</v>
      </c>
      <c r="N60" s="72">
        <f ca="1">IFERROR(INDIRECT($B60&amp;"!N64"), "")</f>
        <v>1.6121951928549837E-2</v>
      </c>
      <c r="O60" s="140">
        <f ca="1">IFERROR(INDIRECT($B60&amp;"!O64"), "")</f>
        <v>91895.125992734043</v>
      </c>
    </row>
    <row r="61" spans="1:15" ht="16.5" customHeight="1">
      <c r="A61" s="155">
        <v>2</v>
      </c>
      <c r="B61" s="155" t="str">
        <f>TEXT(투자전략!$G$1+1, "[$-ko-KR]yyyy.mm.dd")</f>
        <v>2021.05.02</v>
      </c>
      <c r="C61" s="134">
        <f t="shared" ref="C61:C90" ca="1" si="13">IFERROR(COUNTA(INDIRECT($B61&amp;"!A44:A63")) * INDIRECT($B61&amp;"!B64"), "")</f>
        <v>5700000</v>
      </c>
      <c r="D61" s="138">
        <f t="shared" ref="D61:D90" ca="1" si="14">IFERROR($C61 * (1 + E61), "")</f>
        <v>5690911.4456432778</v>
      </c>
      <c r="E61" s="73">
        <f t="shared" ref="E61:E90" ca="1" si="15">IFERROR(INDIRECT($B61&amp;"!E64"), "")</f>
        <v>-1.594483220477585E-3</v>
      </c>
      <c r="F61" s="136">
        <f t="shared" ref="F61:F90" ca="1" si="16">IFERROR(INDIRECT($B61&amp;"!F64"), "")</f>
        <v>-9088.5543567222303</v>
      </c>
      <c r="G61" s="138">
        <f t="shared" ref="G61:G90" ca="1" si="17">IFERROR($C61 * (1 + H61), "")</f>
        <v>5690498.5045738928</v>
      </c>
      <c r="H61" s="73">
        <f t="shared" ref="H61:H90" ca="1" si="18">IFERROR(INDIRECT($B61&amp;"!H64"), "")</f>
        <v>-1.666929022124089E-3</v>
      </c>
      <c r="I61" s="136">
        <f t="shared" ref="I61:I90" ca="1" si="19">IFERROR(INDIRECT($B61&amp;"!I64"), "")</f>
        <v>-9501.4954261073035</v>
      </c>
      <c r="J61" s="138">
        <f t="shared" ref="J61:J90" ca="1" si="20">IFERROR($C61 * (1 + K61), "")</f>
        <v>5725292.5041279895</v>
      </c>
      <c r="K61" s="73">
        <f t="shared" ref="K61:K90" ca="1" si="21">IFERROR(INDIRECT($B61&amp;"!K64"), "")</f>
        <v>4.437281425962906E-3</v>
      </c>
      <c r="L61" s="136">
        <f t="shared" ref="L61:L90" ca="1" si="22">IFERROR(INDIRECT($B61&amp;"!L64"), "")</f>
        <v>25292.50412798857</v>
      </c>
      <c r="M61" s="138">
        <f t="shared" ref="M61:M90" ca="1" si="23">IFERROR($C61 * (1 + N61), "")</f>
        <v>5763933.8531855056</v>
      </c>
      <c r="N61" s="73">
        <f t="shared" ref="N61:N90" ca="1" si="24">IFERROR(INDIRECT($B61&amp;"!N64"), "")</f>
        <v>1.1216465471141364E-2</v>
      </c>
      <c r="O61" s="136">
        <f t="shared" ref="O61:O90" ca="1" si="25">IFERROR(INDIRECT($B61&amp;"!O64"), "")</f>
        <v>63933.853185505781</v>
      </c>
    </row>
    <row r="62" spans="1:15" ht="16.5" customHeight="1">
      <c r="A62" s="155">
        <v>3</v>
      </c>
      <c r="B62" s="155" t="str">
        <f>TEXT(투자전략!$G$1+2, "[$-ko-KR]yyyy.mm.dd")</f>
        <v>2021.05.03</v>
      </c>
      <c r="C62" s="134">
        <f t="shared" ca="1" si="13"/>
        <v>5400000</v>
      </c>
      <c r="D62" s="138">
        <f t="shared" ca="1" si="14"/>
        <v>5575496.9864295339</v>
      </c>
      <c r="E62" s="73">
        <f t="shared" ca="1" si="15"/>
        <v>3.2499441931395062E-2</v>
      </c>
      <c r="F62" s="136">
        <f t="shared" ca="1" si="16"/>
        <v>175496.9864295334</v>
      </c>
      <c r="G62" s="138">
        <f t="shared" ca="1" si="17"/>
        <v>5618685.4874268863</v>
      </c>
      <c r="H62" s="73">
        <f t="shared" ca="1" si="18"/>
        <v>4.0497312486460504E-2</v>
      </c>
      <c r="I62" s="136">
        <f t="shared" ca="1" si="19"/>
        <v>218685.48742688677</v>
      </c>
      <c r="J62" s="138">
        <f t="shared" ca="1" si="20"/>
        <v>5642781.0931354463</v>
      </c>
      <c r="K62" s="73">
        <f t="shared" ca="1" si="21"/>
        <v>4.4959461691749317E-2</v>
      </c>
      <c r="L62" s="136">
        <f t="shared" ca="1" si="22"/>
        <v>242781.09313544634</v>
      </c>
      <c r="M62" s="138">
        <f t="shared" ca="1" si="23"/>
        <v>5599398.2018607762</v>
      </c>
      <c r="N62" s="73">
        <f t="shared" ca="1" si="24"/>
        <v>3.6925592937180791E-2</v>
      </c>
      <c r="O62" s="136">
        <f t="shared" ca="1" si="25"/>
        <v>199398.20186077629</v>
      </c>
    </row>
    <row r="63" spans="1:15" ht="16.5" customHeight="1">
      <c r="A63" s="155">
        <v>4</v>
      </c>
      <c r="B63" s="155" t="str">
        <f>TEXT(투자전략!$G$1+3, "[$-ko-KR]yyyy.mm.dd")</f>
        <v>2021.05.04</v>
      </c>
      <c r="C63" s="134">
        <f t="shared" ca="1" si="13"/>
        <v>5100000</v>
      </c>
      <c r="D63" s="138">
        <f t="shared" ca="1" si="14"/>
        <v>4913291.8029331751</v>
      </c>
      <c r="E63" s="73">
        <f t="shared" ca="1" si="15"/>
        <v>-3.6609450405259723E-2</v>
      </c>
      <c r="F63" s="136">
        <f t="shared" ca="1" si="16"/>
        <v>-186708.19706682459</v>
      </c>
      <c r="G63" s="138">
        <f t="shared" ca="1" si="17"/>
        <v>4944548.6693847794</v>
      </c>
      <c r="H63" s="73">
        <f t="shared" ca="1" si="18"/>
        <v>-3.0480653061807909E-2</v>
      </c>
      <c r="I63" s="136">
        <f t="shared" ca="1" si="19"/>
        <v>-155451.3306152203</v>
      </c>
      <c r="J63" s="138">
        <f t="shared" ca="1" si="20"/>
        <v>4946341.5860611983</v>
      </c>
      <c r="K63" s="73">
        <f t="shared" ca="1" si="21"/>
        <v>-3.0129100772314142E-2</v>
      </c>
      <c r="L63" s="136">
        <f t="shared" ca="1" si="22"/>
        <v>-153658.41393880208</v>
      </c>
      <c r="M63" s="138">
        <f t="shared" ca="1" si="23"/>
        <v>4753721.9406563118</v>
      </c>
      <c r="N63" s="73">
        <f t="shared" ca="1" si="24"/>
        <v>-6.7897658694840837E-2</v>
      </c>
      <c r="O63" s="136">
        <f t="shared" ca="1" si="25"/>
        <v>-346278.05934368825</v>
      </c>
    </row>
    <row r="64" spans="1:15" ht="16.5" customHeight="1">
      <c r="A64" s="155">
        <v>5</v>
      </c>
      <c r="B64" s="155" t="str">
        <f>TEXT(투자전략!$G$1+4, "[$-ko-KR]yyyy.mm.dd")</f>
        <v>2021.05.05</v>
      </c>
      <c r="C64" s="134">
        <f t="shared" ca="1" si="13"/>
        <v>2550000</v>
      </c>
      <c r="D64" s="138">
        <f t="shared" ca="1" si="14"/>
        <v>2414283.6024819729</v>
      </c>
      <c r="E64" s="73">
        <f t="shared" ca="1" si="15"/>
        <v>-5.3222116673736088E-2</v>
      </c>
      <c r="F64" s="136">
        <f t="shared" ca="1" si="16"/>
        <v>-135716.39751802705</v>
      </c>
      <c r="G64" s="138">
        <f t="shared" ca="1" si="17"/>
        <v>2485506.2944377828</v>
      </c>
      <c r="H64" s="73">
        <f t="shared" ca="1" si="18"/>
        <v>-2.5291649240085156E-2</v>
      </c>
      <c r="I64" s="136">
        <f t="shared" ca="1" si="19"/>
        <v>-64493.705562217161</v>
      </c>
      <c r="J64" s="138">
        <f t="shared" ca="1" si="20"/>
        <v>2450988.7532001613</v>
      </c>
      <c r="K64" s="73">
        <f t="shared" ca="1" si="21"/>
        <v>-3.8827939921505517E-2</v>
      </c>
      <c r="L64" s="136">
        <f t="shared" ca="1" si="22"/>
        <v>-99011.246799839064</v>
      </c>
      <c r="M64" s="138">
        <f t="shared" ca="1" si="23"/>
        <v>2522166.9920933945</v>
      </c>
      <c r="N64" s="73">
        <f t="shared" ca="1" si="24"/>
        <v>-1.0914905061413859E-2</v>
      </c>
      <c r="O64" s="136">
        <f t="shared" ca="1" si="25"/>
        <v>-27833.007906605329</v>
      </c>
    </row>
    <row r="65" spans="1:15" ht="16.5" customHeight="1">
      <c r="A65" s="155">
        <v>6</v>
      </c>
      <c r="B65" s="155" t="str">
        <f>TEXT(투자전략!$G$1+5, "[$-ko-KR]yyyy.mm.dd")</f>
        <v>2021.05.06</v>
      </c>
      <c r="C65" s="134">
        <f t="shared" ca="1" si="13"/>
        <v>2700000</v>
      </c>
      <c r="D65" s="138">
        <f t="shared" ca="1" si="14"/>
        <v>2699243.1196434526</v>
      </c>
      <c r="E65" s="73">
        <f t="shared" ca="1" si="15"/>
        <v>-2.8032605798057489E-4</v>
      </c>
      <c r="F65" s="136">
        <f t="shared" ca="1" si="16"/>
        <v>-756.88035654755151</v>
      </c>
      <c r="G65" s="138">
        <f t="shared" ca="1" si="17"/>
        <v>2688883.5356454668</v>
      </c>
      <c r="H65" s="73">
        <f t="shared" ca="1" si="18"/>
        <v>-4.1172090201973717E-3</v>
      </c>
      <c r="I65" s="136">
        <f t="shared" ca="1" si="19"/>
        <v>-11116.464354532902</v>
      </c>
      <c r="J65" s="138">
        <f t="shared" ca="1" si="20"/>
        <v>2685218.8109180443</v>
      </c>
      <c r="K65" s="73">
        <f t="shared" ca="1" si="21"/>
        <v>-5.4745144747983601E-3</v>
      </c>
      <c r="L65" s="136">
        <f t="shared" ca="1" si="22"/>
        <v>-14781.189081955576</v>
      </c>
      <c r="M65" s="138">
        <f t="shared" ca="1" si="23"/>
        <v>2685739.9606291102</v>
      </c>
      <c r="N65" s="73">
        <f t="shared" ca="1" si="24"/>
        <v>-5.2814960632924903E-3</v>
      </c>
      <c r="O65" s="136">
        <f t="shared" ca="1" si="25"/>
        <v>-14260.03937088973</v>
      </c>
    </row>
    <row r="66" spans="1:15" ht="16.5" customHeight="1" thickBot="1">
      <c r="A66" s="157">
        <v>7</v>
      </c>
      <c r="B66" s="157" t="str">
        <f>TEXT(투자전략!$G$1+6, "[$-ko-KR]yyyy.mm.dd")</f>
        <v>2021.05.07</v>
      </c>
      <c r="C66" s="134">
        <f t="shared" ca="1" si="13"/>
        <v>2850000</v>
      </c>
      <c r="D66" s="138">
        <f t="shared" ca="1" si="14"/>
        <v>2678763.1230948311</v>
      </c>
      <c r="E66" s="73">
        <f t="shared" ca="1" si="15"/>
        <v>-6.0083114703568037E-2</v>
      </c>
      <c r="F66" s="136">
        <f t="shared" ca="1" si="16"/>
        <v>-171236.87690516893</v>
      </c>
      <c r="G66" s="138">
        <f t="shared" ca="1" si="17"/>
        <v>2739890.416816175</v>
      </c>
      <c r="H66" s="73">
        <f t="shared" ca="1" si="18"/>
        <v>-3.8634941468008686E-2</v>
      </c>
      <c r="I66" s="136">
        <f t="shared" ca="1" si="19"/>
        <v>-110109.58318382471</v>
      </c>
      <c r="J66" s="138">
        <f t="shared" ca="1" si="20"/>
        <v>2826150.8225448746</v>
      </c>
      <c r="K66" s="73">
        <f t="shared" ca="1" si="21"/>
        <v>-8.368132440394787E-3</v>
      </c>
      <c r="L66" s="136">
        <f t="shared" ca="1" si="22"/>
        <v>-23849.177455125144</v>
      </c>
      <c r="M66" s="138">
        <f t="shared" ca="1" si="23"/>
        <v>2855094.2695993325</v>
      </c>
      <c r="N66" s="73">
        <f t="shared" ca="1" si="24"/>
        <v>1.7874630173095435E-3</v>
      </c>
      <c r="O66" s="136">
        <f t="shared" ca="1" si="25"/>
        <v>5094.2695993321886</v>
      </c>
    </row>
    <row r="67" spans="1:15" ht="16.5" customHeight="1">
      <c r="A67" s="156">
        <v>8</v>
      </c>
      <c r="B67" s="156" t="str">
        <f>TEXT(투자전략!$G$1+7, "[$-ko-KR]yyyy.mm.dd")</f>
        <v>2021.05.08</v>
      </c>
      <c r="C67" s="133">
        <f t="shared" ca="1" si="13"/>
        <v>2850000</v>
      </c>
      <c r="D67" s="141">
        <f t="shared" ca="1" si="14"/>
        <v>2789719.4245896782</v>
      </c>
      <c r="E67" s="72">
        <f t="shared" ca="1" si="15"/>
        <v>-2.115107909134107E-2</v>
      </c>
      <c r="F67" s="140">
        <f t="shared" ca="1" si="16"/>
        <v>-60280.575410322046</v>
      </c>
      <c r="G67" s="141">
        <f t="shared" ca="1" si="17"/>
        <v>2800294.7024498149</v>
      </c>
      <c r="H67" s="72">
        <f t="shared" ca="1" si="18"/>
        <v>-1.7440455280766792E-2</v>
      </c>
      <c r="I67" s="140">
        <f t="shared" ca="1" si="19"/>
        <v>-49705.297550185358</v>
      </c>
      <c r="J67" s="141">
        <f t="shared" ca="1" si="20"/>
        <v>2803924.1807414507</v>
      </c>
      <c r="K67" s="72">
        <f t="shared" ca="1" si="21"/>
        <v>-1.6166954125806803E-2</v>
      </c>
      <c r="L67" s="140">
        <f t="shared" ca="1" si="22"/>
        <v>-46075.819258549382</v>
      </c>
      <c r="M67" s="141">
        <f t="shared" ca="1" si="23"/>
        <v>2795416.6521626255</v>
      </c>
      <c r="N67" s="72">
        <f t="shared" ca="1" si="24"/>
        <v>-1.9152051872762893E-2</v>
      </c>
      <c r="O67" s="140">
        <f t="shared" ca="1" si="25"/>
        <v>-54583.347837374262</v>
      </c>
    </row>
    <row r="68" spans="1:15" ht="16.5" customHeight="1">
      <c r="A68" s="155">
        <v>9</v>
      </c>
      <c r="B68" s="155" t="str">
        <f>TEXT(투자전략!$G$1+8, "[$-ko-KR]yyyy.mm.dd")</f>
        <v>2021.05.09</v>
      </c>
      <c r="C68" s="134">
        <f t="shared" ca="1" si="13"/>
        <v>2850000</v>
      </c>
      <c r="D68" s="138">
        <f t="shared" ca="1" si="14"/>
        <v>2766756.586740783</v>
      </c>
      <c r="E68" s="73">
        <f t="shared" ca="1" si="15"/>
        <v>-2.920821517867268E-2</v>
      </c>
      <c r="F68" s="136">
        <f t="shared" ca="1" si="16"/>
        <v>-83243.413259217152</v>
      </c>
      <c r="G68" s="138">
        <f t="shared" ca="1" si="17"/>
        <v>2729982.7965285233</v>
      </c>
      <c r="H68" s="73">
        <f t="shared" ca="1" si="18"/>
        <v>-4.2111299463675984E-2</v>
      </c>
      <c r="I68" s="136">
        <f t="shared" ca="1" si="19"/>
        <v>-120017.20347147653</v>
      </c>
      <c r="J68" s="138">
        <f t="shared" ca="1" si="20"/>
        <v>2693559.3527347138</v>
      </c>
      <c r="K68" s="73">
        <f t="shared" ca="1" si="21"/>
        <v>-5.489145518080224E-2</v>
      </c>
      <c r="L68" s="136">
        <f t="shared" ca="1" si="22"/>
        <v>-156440.64726528642</v>
      </c>
      <c r="M68" s="138">
        <f t="shared" ca="1" si="23"/>
        <v>2709175.3991925204</v>
      </c>
      <c r="N68" s="73">
        <f t="shared" ca="1" si="24"/>
        <v>-4.9412140634203336E-2</v>
      </c>
      <c r="O68" s="136">
        <f t="shared" ca="1" si="25"/>
        <v>-140824.6008074795</v>
      </c>
    </row>
    <row r="69" spans="1:15" ht="16.5" customHeight="1">
      <c r="A69" s="155">
        <v>10</v>
      </c>
      <c r="B69" s="155" t="str">
        <f>TEXT(투자전략!$G$1+9, "[$-ko-KR]yyyy.mm.dd")</f>
        <v>2021.05.10</v>
      </c>
      <c r="C69" s="134">
        <f t="shared" ca="1" si="13"/>
        <v>2850000</v>
      </c>
      <c r="D69" s="138">
        <f t="shared" ca="1" si="14"/>
        <v>2866664.89846153</v>
      </c>
      <c r="E69" s="73">
        <f t="shared" ca="1" si="15"/>
        <v>5.8473327935194466E-3</v>
      </c>
      <c r="F69" s="136">
        <f t="shared" ca="1" si="16"/>
        <v>16664.898461530418</v>
      </c>
      <c r="G69" s="138">
        <f t="shared" ca="1" si="17"/>
        <v>2882496.0997115215</v>
      </c>
      <c r="H69" s="73">
        <f t="shared" ca="1" si="18"/>
        <v>1.1402140249656689E-2</v>
      </c>
      <c r="I69" s="136">
        <f t="shared" ca="1" si="19"/>
        <v>32496.099711521561</v>
      </c>
      <c r="J69" s="138">
        <f t="shared" ca="1" si="20"/>
        <v>2880730.1903196112</v>
      </c>
      <c r="K69" s="73">
        <f t="shared" ca="1" si="21"/>
        <v>1.0782522919161781E-2</v>
      </c>
      <c r="L69" s="136">
        <f t="shared" ca="1" si="22"/>
        <v>30730.19031961108</v>
      </c>
      <c r="M69" s="138">
        <f t="shared" ca="1" si="23"/>
        <v>2849800.1047053104</v>
      </c>
      <c r="N69" s="73">
        <f t="shared" ca="1" si="24"/>
        <v>-7.0138699891043936E-5</v>
      </c>
      <c r="O69" s="136">
        <f t="shared" ca="1" si="25"/>
        <v>-199.89529468947774</v>
      </c>
    </row>
    <row r="70" spans="1:15" ht="16.5" customHeight="1">
      <c r="A70" s="155">
        <v>11</v>
      </c>
      <c r="B70" s="155" t="str">
        <f>TEXT(투자전략!$G$1+10, "[$-ko-KR]yyyy.mm.dd")</f>
        <v>2021.05.11</v>
      </c>
      <c r="C70" s="134">
        <f t="shared" ca="1" si="13"/>
        <v>2850000</v>
      </c>
      <c r="D70" s="138">
        <f t="shared" ca="1" si="14"/>
        <v>2706552.2955798027</v>
      </c>
      <c r="E70" s="73">
        <f t="shared" ca="1" si="15"/>
        <v>-5.0332527866735768E-2</v>
      </c>
      <c r="F70" s="136">
        <f t="shared" ca="1" si="16"/>
        <v>-143447.70442019694</v>
      </c>
      <c r="G70" s="138">
        <f t="shared" ca="1" si="17"/>
        <v>2903471.9913226529</v>
      </c>
      <c r="H70" s="73">
        <f t="shared" ca="1" si="18"/>
        <v>1.8762102218474824E-2</v>
      </c>
      <c r="I70" s="136">
        <f t="shared" ca="1" si="19"/>
        <v>53471.991322653252</v>
      </c>
      <c r="J70" s="138">
        <f t="shared" ca="1" si="20"/>
        <v>2961246.1319350125</v>
      </c>
      <c r="K70" s="73">
        <f t="shared" ca="1" si="21"/>
        <v>3.9033730503513053E-2</v>
      </c>
      <c r="L70" s="136">
        <f t="shared" ca="1" si="22"/>
        <v>111246.13193501218</v>
      </c>
      <c r="M70" s="138">
        <f t="shared" ca="1" si="23"/>
        <v>2946725.8601111178</v>
      </c>
      <c r="N70" s="73">
        <f t="shared" ca="1" si="24"/>
        <v>3.3938898284602684E-2</v>
      </c>
      <c r="O70" s="136">
        <f t="shared" ca="1" si="25"/>
        <v>96725.860111117683</v>
      </c>
    </row>
    <row r="71" spans="1:15" ht="16.5" customHeight="1">
      <c r="A71" s="155">
        <v>12</v>
      </c>
      <c r="B71" s="155" t="str">
        <f>TEXT(투자전략!$G$1+11, "[$-ko-KR]yyyy.mm.dd")</f>
        <v>2021.05.12</v>
      </c>
      <c r="C71" s="134">
        <f t="shared" ca="1" si="13"/>
        <v>2850000</v>
      </c>
      <c r="D71" s="138">
        <f t="shared" ca="1" si="14"/>
        <v>2915125.8510363246</v>
      </c>
      <c r="E71" s="73">
        <f t="shared" ca="1" si="15"/>
        <v>2.285117580221914E-2</v>
      </c>
      <c r="F71" s="136">
        <f t="shared" ca="1" si="16"/>
        <v>65125.851036324551</v>
      </c>
      <c r="G71" s="138">
        <f t="shared" ca="1" si="17"/>
        <v>2895158.5219843471</v>
      </c>
      <c r="H71" s="73">
        <f t="shared" ca="1" si="18"/>
        <v>1.5845095433104094E-2</v>
      </c>
      <c r="I71" s="136">
        <f t="shared" ca="1" si="19"/>
        <v>45158.521984346677</v>
      </c>
      <c r="J71" s="138">
        <f t="shared" ca="1" si="20"/>
        <v>2929580.0970718772</v>
      </c>
      <c r="K71" s="73">
        <f t="shared" ca="1" si="21"/>
        <v>2.7922841077851691E-2</v>
      </c>
      <c r="L71" s="136">
        <f t="shared" ca="1" si="22"/>
        <v>79580.097071877331</v>
      </c>
      <c r="M71" s="138">
        <f t="shared" ca="1" si="23"/>
        <v>2807895.1299300469</v>
      </c>
      <c r="N71" s="73">
        <f t="shared" ca="1" si="24"/>
        <v>-1.4773638621036252E-2</v>
      </c>
      <c r="O71" s="136">
        <f t="shared" ca="1" si="25"/>
        <v>-42104.870069953344</v>
      </c>
    </row>
    <row r="72" spans="1:15" ht="16.5" customHeight="1">
      <c r="A72" s="155">
        <v>13</v>
      </c>
      <c r="B72" s="155" t="str">
        <f>TEXT(투자전략!$G$1+12, "[$-ko-KR]yyyy.mm.dd")</f>
        <v>2021.05.13</v>
      </c>
      <c r="C72" s="134">
        <f t="shared" ca="1" si="13"/>
        <v>2850000</v>
      </c>
      <c r="D72" s="138">
        <f t="shared" ca="1" si="14"/>
        <v>2586766.115294049</v>
      </c>
      <c r="E72" s="73">
        <f t="shared" ca="1" si="15"/>
        <v>-9.2362766563491627E-2</v>
      </c>
      <c r="F72" s="136">
        <f t="shared" ca="1" si="16"/>
        <v>-263233.88470595115</v>
      </c>
      <c r="G72" s="138">
        <f t="shared" ca="1" si="17"/>
        <v>2489144.9414303238</v>
      </c>
      <c r="H72" s="73">
        <f t="shared" ca="1" si="18"/>
        <v>-0.12661581002444788</v>
      </c>
      <c r="I72" s="136">
        <f t="shared" ca="1" si="19"/>
        <v>-360855.05856967648</v>
      </c>
      <c r="J72" s="138">
        <f t="shared" ca="1" si="20"/>
        <v>2530153.0040820497</v>
      </c>
      <c r="K72" s="73">
        <f t="shared" ca="1" si="21"/>
        <v>-0.11222701611156145</v>
      </c>
      <c r="L72" s="136">
        <f t="shared" ca="1" si="22"/>
        <v>-319846.99591795017</v>
      </c>
      <c r="M72" s="138">
        <f t="shared" ca="1" si="23"/>
        <v>2530985.2391216476</v>
      </c>
      <c r="N72" s="73">
        <f t="shared" ca="1" si="24"/>
        <v>-0.11193500381696571</v>
      </c>
      <c r="O72" s="136">
        <f t="shared" ca="1" si="25"/>
        <v>-319014.76087835233</v>
      </c>
    </row>
    <row r="73" spans="1:15" ht="16.5" customHeight="1" thickBot="1">
      <c r="A73" s="157">
        <v>14</v>
      </c>
      <c r="B73" s="157" t="str">
        <f>TEXT(투자전략!$G$1+13, "[$-ko-KR]yyyy.mm.dd")</f>
        <v>2021.05.14</v>
      </c>
      <c r="C73" s="135">
        <f t="shared" ca="1" si="13"/>
        <v>3000000</v>
      </c>
      <c r="D73" s="139">
        <f t="shared" ca="1" si="14"/>
        <v>3057710.6377386702</v>
      </c>
      <c r="E73" s="75">
        <f t="shared" ca="1" si="15"/>
        <v>1.9236879246223429E-2</v>
      </c>
      <c r="F73" s="137">
        <f t="shared" ca="1" si="16"/>
        <v>57710.637738670273</v>
      </c>
      <c r="G73" s="139">
        <f t="shared" ca="1" si="17"/>
        <v>3061936.3418001523</v>
      </c>
      <c r="H73" s="75">
        <f t="shared" ca="1" si="18"/>
        <v>2.0645447266717489E-2</v>
      </c>
      <c r="I73" s="137">
        <f t="shared" ca="1" si="19"/>
        <v>61936.341800152455</v>
      </c>
      <c r="J73" s="139">
        <f t="shared" ca="1" si="20"/>
        <v>3063798.5157854557</v>
      </c>
      <c r="K73" s="75">
        <f t="shared" ca="1" si="21"/>
        <v>2.1266171928485157E-2</v>
      </c>
      <c r="L73" s="137">
        <f t="shared" ca="1" si="22"/>
        <v>63798.515785455471</v>
      </c>
      <c r="M73" s="139">
        <f t="shared" ca="1" si="23"/>
        <v>3063736.4891853305</v>
      </c>
      <c r="N73" s="75">
        <f t="shared" ca="1" si="24"/>
        <v>2.1245496395110031E-2</v>
      </c>
      <c r="O73" s="137">
        <f t="shared" ca="1" si="25"/>
        <v>63736.48918533008</v>
      </c>
    </row>
    <row r="74" spans="1:15" ht="16.5" customHeight="1">
      <c r="A74" s="156">
        <v>15</v>
      </c>
      <c r="B74" s="156" t="str">
        <f>TEXT(투자전략!$G$1+14, "[$-ko-KR]yyyy.mm.dd")</f>
        <v>2021.05.15</v>
      </c>
      <c r="C74" s="134">
        <f t="shared" ca="1" si="13"/>
        <v>3000000</v>
      </c>
      <c r="D74" s="138">
        <f t="shared" ca="1" si="14"/>
        <v>3030228.5956979697</v>
      </c>
      <c r="E74" s="73">
        <f t="shared" ca="1" si="15"/>
        <v>1.0076198565989777E-2</v>
      </c>
      <c r="F74" s="136">
        <f t="shared" ca="1" si="16"/>
        <v>30228.595697969329</v>
      </c>
      <c r="G74" s="138">
        <f t="shared" ca="1" si="17"/>
        <v>2918670.8548692269</v>
      </c>
      <c r="H74" s="73">
        <f t="shared" ca="1" si="18"/>
        <v>-2.7109715043591005E-2</v>
      </c>
      <c r="I74" s="136">
        <f t="shared" ca="1" si="19"/>
        <v>-81329.145130773031</v>
      </c>
      <c r="J74" s="138">
        <f t="shared" ca="1" si="20"/>
        <v>2943072.3012391916</v>
      </c>
      <c r="K74" s="73">
        <f t="shared" ca="1" si="21"/>
        <v>-1.8975899586936136E-2</v>
      </c>
      <c r="L74" s="136">
        <f t="shared" ca="1" si="22"/>
        <v>-56927.698760808395</v>
      </c>
      <c r="M74" s="138">
        <f t="shared" ca="1" si="23"/>
        <v>2949586.3595806514</v>
      </c>
      <c r="N74" s="73">
        <f t="shared" ca="1" si="24"/>
        <v>-1.6804546806449459E-2</v>
      </c>
      <c r="O74" s="136">
        <f t="shared" ca="1" si="25"/>
        <v>-50413.640419348376</v>
      </c>
    </row>
    <row r="75" spans="1:15" ht="16.5" customHeight="1">
      <c r="A75" s="155">
        <v>16</v>
      </c>
      <c r="B75" s="155" t="str">
        <f>TEXT(투자전략!$G$1+15, "[$-ko-KR]yyyy.mm.dd")</f>
        <v>2021.05.16</v>
      </c>
      <c r="C75" s="134">
        <f t="shared" ca="1" si="13"/>
        <v>3000000</v>
      </c>
      <c r="D75" s="138">
        <f t="shared" ca="1" si="14"/>
        <v>3000000</v>
      </c>
      <c r="E75" s="73">
        <f t="shared" ca="1" si="15"/>
        <v>0</v>
      </c>
      <c r="F75" s="136">
        <f t="shared" ca="1" si="16"/>
        <v>0</v>
      </c>
      <c r="G75" s="138">
        <f t="shared" ca="1" si="17"/>
        <v>3000000</v>
      </c>
      <c r="H75" s="73">
        <f t="shared" ca="1" si="18"/>
        <v>0</v>
      </c>
      <c r="I75" s="136">
        <f t="shared" ca="1" si="19"/>
        <v>0</v>
      </c>
      <c r="J75" s="138">
        <f t="shared" ca="1" si="20"/>
        <v>3000000</v>
      </c>
      <c r="K75" s="73">
        <f t="shared" ca="1" si="21"/>
        <v>0</v>
      </c>
      <c r="L75" s="136">
        <f t="shared" ca="1" si="22"/>
        <v>0</v>
      </c>
      <c r="M75" s="138">
        <f t="shared" ca="1" si="23"/>
        <v>3000000</v>
      </c>
      <c r="N75" s="73">
        <f t="shared" ca="1" si="24"/>
        <v>0</v>
      </c>
      <c r="O75" s="136">
        <f t="shared" ca="1" si="25"/>
        <v>0</v>
      </c>
    </row>
    <row r="76" spans="1:15" ht="16.5" customHeight="1">
      <c r="A76" s="155">
        <v>17</v>
      </c>
      <c r="B76" s="155" t="str">
        <f>TEXT(투자전략!$G$1+16, "[$-ko-KR]yyyy.mm.dd")</f>
        <v>2021.05.17</v>
      </c>
      <c r="C76" s="134" t="str">
        <f t="shared" ca="1" si="13"/>
        <v/>
      </c>
      <c r="D76" s="138" t="str">
        <f t="shared" ca="1" si="14"/>
        <v/>
      </c>
      <c r="E76" s="73" t="str">
        <f t="shared" ca="1" si="15"/>
        <v/>
      </c>
      <c r="F76" s="136" t="str">
        <f t="shared" ca="1" si="16"/>
        <v/>
      </c>
      <c r="G76" s="138" t="str">
        <f t="shared" ca="1" si="17"/>
        <v/>
      </c>
      <c r="H76" s="73" t="str">
        <f t="shared" ca="1" si="18"/>
        <v/>
      </c>
      <c r="I76" s="136" t="str">
        <f t="shared" ca="1" si="19"/>
        <v/>
      </c>
      <c r="J76" s="138" t="str">
        <f t="shared" ca="1" si="20"/>
        <v/>
      </c>
      <c r="K76" s="73" t="str">
        <f t="shared" ca="1" si="21"/>
        <v/>
      </c>
      <c r="L76" s="136" t="str">
        <f t="shared" ca="1" si="22"/>
        <v/>
      </c>
      <c r="M76" s="138" t="str">
        <f t="shared" ca="1" si="23"/>
        <v/>
      </c>
      <c r="N76" s="73" t="str">
        <f t="shared" ca="1" si="24"/>
        <v/>
      </c>
      <c r="O76" s="136" t="str">
        <f t="shared" ca="1" si="25"/>
        <v/>
      </c>
    </row>
    <row r="77" spans="1:15" ht="16.5" customHeight="1">
      <c r="A77" s="155">
        <v>18</v>
      </c>
      <c r="B77" s="155" t="str">
        <f>TEXT(투자전략!$G$1+17, "[$-ko-KR]yyyy.mm.dd")</f>
        <v>2021.05.18</v>
      </c>
      <c r="C77" s="134" t="str">
        <f t="shared" ca="1" si="13"/>
        <v/>
      </c>
      <c r="D77" s="138" t="str">
        <f t="shared" ca="1" si="14"/>
        <v/>
      </c>
      <c r="E77" s="73" t="str">
        <f t="shared" ca="1" si="15"/>
        <v/>
      </c>
      <c r="F77" s="136" t="str">
        <f t="shared" ca="1" si="16"/>
        <v/>
      </c>
      <c r="G77" s="138" t="str">
        <f t="shared" ca="1" si="17"/>
        <v/>
      </c>
      <c r="H77" s="73" t="str">
        <f t="shared" ca="1" si="18"/>
        <v/>
      </c>
      <c r="I77" s="136" t="str">
        <f t="shared" ca="1" si="19"/>
        <v/>
      </c>
      <c r="J77" s="138" t="str">
        <f t="shared" ca="1" si="20"/>
        <v/>
      </c>
      <c r="K77" s="73" t="str">
        <f t="shared" ca="1" si="21"/>
        <v/>
      </c>
      <c r="L77" s="136" t="str">
        <f t="shared" ca="1" si="22"/>
        <v/>
      </c>
      <c r="M77" s="138" t="str">
        <f t="shared" ca="1" si="23"/>
        <v/>
      </c>
      <c r="N77" s="73" t="str">
        <f t="shared" ca="1" si="24"/>
        <v/>
      </c>
      <c r="O77" s="136" t="str">
        <f t="shared" ca="1" si="25"/>
        <v/>
      </c>
    </row>
    <row r="78" spans="1:15" ht="16.5" customHeight="1">
      <c r="A78" s="155">
        <v>19</v>
      </c>
      <c r="B78" s="155" t="str">
        <f>TEXT(투자전략!$G$1+18, "[$-ko-KR]yyyy.mm.dd")</f>
        <v>2021.05.19</v>
      </c>
      <c r="C78" s="134" t="str">
        <f t="shared" ca="1" si="13"/>
        <v/>
      </c>
      <c r="D78" s="138" t="str">
        <f t="shared" ca="1" si="14"/>
        <v/>
      </c>
      <c r="E78" s="73" t="str">
        <f t="shared" ca="1" si="15"/>
        <v/>
      </c>
      <c r="F78" s="136" t="str">
        <f t="shared" ca="1" si="16"/>
        <v/>
      </c>
      <c r="G78" s="138" t="str">
        <f t="shared" ca="1" si="17"/>
        <v/>
      </c>
      <c r="H78" s="73" t="str">
        <f t="shared" ca="1" si="18"/>
        <v/>
      </c>
      <c r="I78" s="136" t="str">
        <f t="shared" ca="1" si="19"/>
        <v/>
      </c>
      <c r="J78" s="138" t="str">
        <f t="shared" ca="1" si="20"/>
        <v/>
      </c>
      <c r="K78" s="73" t="str">
        <f t="shared" ca="1" si="21"/>
        <v/>
      </c>
      <c r="L78" s="136" t="str">
        <f t="shared" ca="1" si="22"/>
        <v/>
      </c>
      <c r="M78" s="138" t="str">
        <f t="shared" ca="1" si="23"/>
        <v/>
      </c>
      <c r="N78" s="73" t="str">
        <f t="shared" ca="1" si="24"/>
        <v/>
      </c>
      <c r="O78" s="136" t="str">
        <f t="shared" ca="1" si="25"/>
        <v/>
      </c>
    </row>
    <row r="79" spans="1:15" ht="16.5" customHeight="1">
      <c r="A79" s="155">
        <v>20</v>
      </c>
      <c r="B79" s="155" t="str">
        <f>TEXT(투자전략!$G$1+19, "[$-ko-KR]yyyy.mm.dd")</f>
        <v>2021.05.20</v>
      </c>
      <c r="C79" s="134" t="str">
        <f t="shared" ca="1" si="13"/>
        <v/>
      </c>
      <c r="D79" s="138" t="str">
        <f t="shared" ca="1" si="14"/>
        <v/>
      </c>
      <c r="E79" s="73" t="str">
        <f t="shared" ca="1" si="15"/>
        <v/>
      </c>
      <c r="F79" s="136" t="str">
        <f t="shared" ca="1" si="16"/>
        <v/>
      </c>
      <c r="G79" s="138" t="str">
        <f t="shared" ca="1" si="17"/>
        <v/>
      </c>
      <c r="H79" s="73" t="str">
        <f t="shared" ca="1" si="18"/>
        <v/>
      </c>
      <c r="I79" s="136" t="str">
        <f t="shared" ca="1" si="19"/>
        <v/>
      </c>
      <c r="J79" s="138" t="str">
        <f t="shared" ca="1" si="20"/>
        <v/>
      </c>
      <c r="K79" s="73" t="str">
        <f t="shared" ca="1" si="21"/>
        <v/>
      </c>
      <c r="L79" s="136" t="str">
        <f t="shared" ca="1" si="22"/>
        <v/>
      </c>
      <c r="M79" s="138" t="str">
        <f t="shared" ca="1" si="23"/>
        <v/>
      </c>
      <c r="N79" s="73" t="str">
        <f t="shared" ca="1" si="24"/>
        <v/>
      </c>
      <c r="O79" s="136" t="str">
        <f t="shared" ca="1" si="25"/>
        <v/>
      </c>
    </row>
    <row r="80" spans="1:15" ht="16.5" customHeight="1" thickBot="1">
      <c r="A80" s="157">
        <v>21</v>
      </c>
      <c r="B80" s="157" t="str">
        <f>TEXT(투자전략!$G$1+20, "[$-ko-KR]yyyy.mm.dd")</f>
        <v>2021.05.21</v>
      </c>
      <c r="C80" s="134" t="str">
        <f t="shared" ca="1" si="13"/>
        <v/>
      </c>
      <c r="D80" s="138" t="str">
        <f t="shared" ca="1" si="14"/>
        <v/>
      </c>
      <c r="E80" s="73" t="str">
        <f t="shared" ca="1" si="15"/>
        <v/>
      </c>
      <c r="F80" s="136" t="str">
        <f t="shared" ca="1" si="16"/>
        <v/>
      </c>
      <c r="G80" s="138" t="str">
        <f t="shared" ca="1" si="17"/>
        <v/>
      </c>
      <c r="H80" s="73" t="str">
        <f t="shared" ca="1" si="18"/>
        <v/>
      </c>
      <c r="I80" s="136" t="str">
        <f t="shared" ca="1" si="19"/>
        <v/>
      </c>
      <c r="J80" s="138" t="str">
        <f t="shared" ca="1" si="20"/>
        <v/>
      </c>
      <c r="K80" s="73" t="str">
        <f t="shared" ca="1" si="21"/>
        <v/>
      </c>
      <c r="L80" s="136" t="str">
        <f t="shared" ca="1" si="22"/>
        <v/>
      </c>
      <c r="M80" s="138" t="str">
        <f t="shared" ca="1" si="23"/>
        <v/>
      </c>
      <c r="N80" s="73" t="str">
        <f t="shared" ca="1" si="24"/>
        <v/>
      </c>
      <c r="O80" s="136" t="str">
        <f t="shared" ca="1" si="25"/>
        <v/>
      </c>
    </row>
    <row r="81" spans="1:15" ht="16.5" customHeight="1">
      <c r="A81" s="156">
        <v>22</v>
      </c>
      <c r="B81" s="156" t="str">
        <f>TEXT(투자전략!$G$1+21, "[$-ko-KR]yyyy.mm.dd")</f>
        <v>2021.05.22</v>
      </c>
      <c r="C81" s="133" t="str">
        <f t="shared" ca="1" si="13"/>
        <v/>
      </c>
      <c r="D81" s="141" t="str">
        <f t="shared" ca="1" si="14"/>
        <v/>
      </c>
      <c r="E81" s="72" t="str">
        <f t="shared" ca="1" si="15"/>
        <v/>
      </c>
      <c r="F81" s="140" t="str">
        <f t="shared" ca="1" si="16"/>
        <v/>
      </c>
      <c r="G81" s="141" t="str">
        <f t="shared" ca="1" si="17"/>
        <v/>
      </c>
      <c r="H81" s="72" t="str">
        <f t="shared" ca="1" si="18"/>
        <v/>
      </c>
      <c r="I81" s="140" t="str">
        <f t="shared" ca="1" si="19"/>
        <v/>
      </c>
      <c r="J81" s="141" t="str">
        <f t="shared" ca="1" si="20"/>
        <v/>
      </c>
      <c r="K81" s="72" t="str">
        <f t="shared" ca="1" si="21"/>
        <v/>
      </c>
      <c r="L81" s="140" t="str">
        <f t="shared" ca="1" si="22"/>
        <v/>
      </c>
      <c r="M81" s="141" t="str">
        <f t="shared" ca="1" si="23"/>
        <v/>
      </c>
      <c r="N81" s="72" t="str">
        <f t="shared" ca="1" si="24"/>
        <v/>
      </c>
      <c r="O81" s="140" t="str">
        <f t="shared" ca="1" si="25"/>
        <v/>
      </c>
    </row>
    <row r="82" spans="1:15" ht="16.5" customHeight="1">
      <c r="A82" s="155">
        <v>23</v>
      </c>
      <c r="B82" s="155" t="str">
        <f>TEXT(투자전략!$G$1+22, "[$-ko-KR]yyyy.mm.dd")</f>
        <v>2021.05.23</v>
      </c>
      <c r="C82" s="134" t="str">
        <f t="shared" ca="1" si="13"/>
        <v/>
      </c>
      <c r="D82" s="138" t="str">
        <f t="shared" ca="1" si="14"/>
        <v/>
      </c>
      <c r="E82" s="73" t="str">
        <f t="shared" ca="1" si="15"/>
        <v/>
      </c>
      <c r="F82" s="136" t="str">
        <f t="shared" ca="1" si="16"/>
        <v/>
      </c>
      <c r="G82" s="138" t="str">
        <f t="shared" ca="1" si="17"/>
        <v/>
      </c>
      <c r="H82" s="73" t="str">
        <f t="shared" ca="1" si="18"/>
        <v/>
      </c>
      <c r="I82" s="136" t="str">
        <f t="shared" ca="1" si="19"/>
        <v/>
      </c>
      <c r="J82" s="138" t="str">
        <f t="shared" ca="1" si="20"/>
        <v/>
      </c>
      <c r="K82" s="73" t="str">
        <f t="shared" ca="1" si="21"/>
        <v/>
      </c>
      <c r="L82" s="136" t="str">
        <f t="shared" ca="1" si="22"/>
        <v/>
      </c>
      <c r="M82" s="138" t="str">
        <f t="shared" ca="1" si="23"/>
        <v/>
      </c>
      <c r="N82" s="73" t="str">
        <f t="shared" ca="1" si="24"/>
        <v/>
      </c>
      <c r="O82" s="136" t="str">
        <f t="shared" ca="1" si="25"/>
        <v/>
      </c>
    </row>
    <row r="83" spans="1:15" ht="16.5" customHeight="1">
      <c r="A83" s="155">
        <v>24</v>
      </c>
      <c r="B83" s="155" t="str">
        <f>TEXT(투자전략!$G$1+23, "[$-ko-KR]yyyy.mm.dd")</f>
        <v>2021.05.24</v>
      </c>
      <c r="C83" s="134" t="str">
        <f t="shared" ca="1" si="13"/>
        <v/>
      </c>
      <c r="D83" s="138" t="str">
        <f t="shared" ca="1" si="14"/>
        <v/>
      </c>
      <c r="E83" s="73" t="str">
        <f t="shared" ca="1" si="15"/>
        <v/>
      </c>
      <c r="F83" s="136" t="str">
        <f t="shared" ca="1" si="16"/>
        <v/>
      </c>
      <c r="G83" s="138" t="str">
        <f t="shared" ca="1" si="17"/>
        <v/>
      </c>
      <c r="H83" s="73" t="str">
        <f t="shared" ca="1" si="18"/>
        <v/>
      </c>
      <c r="I83" s="136" t="str">
        <f t="shared" ca="1" si="19"/>
        <v/>
      </c>
      <c r="J83" s="138" t="str">
        <f t="shared" ca="1" si="20"/>
        <v/>
      </c>
      <c r="K83" s="73" t="str">
        <f t="shared" ca="1" si="21"/>
        <v/>
      </c>
      <c r="L83" s="136" t="str">
        <f t="shared" ca="1" si="22"/>
        <v/>
      </c>
      <c r="M83" s="138" t="str">
        <f t="shared" ca="1" si="23"/>
        <v/>
      </c>
      <c r="N83" s="73" t="str">
        <f t="shared" ca="1" si="24"/>
        <v/>
      </c>
      <c r="O83" s="136" t="str">
        <f t="shared" ca="1" si="25"/>
        <v/>
      </c>
    </row>
    <row r="84" spans="1:15" ht="16.5" customHeight="1">
      <c r="A84" s="155">
        <v>25</v>
      </c>
      <c r="B84" s="155" t="str">
        <f>TEXT(투자전략!$G$1+24, "[$-ko-KR]yyyy.mm.dd")</f>
        <v>2021.05.25</v>
      </c>
      <c r="C84" s="134" t="str">
        <f t="shared" ca="1" si="13"/>
        <v/>
      </c>
      <c r="D84" s="138" t="str">
        <f t="shared" ca="1" si="14"/>
        <v/>
      </c>
      <c r="E84" s="73" t="str">
        <f t="shared" ca="1" si="15"/>
        <v/>
      </c>
      <c r="F84" s="136" t="str">
        <f t="shared" ca="1" si="16"/>
        <v/>
      </c>
      <c r="G84" s="138" t="str">
        <f t="shared" ca="1" si="17"/>
        <v/>
      </c>
      <c r="H84" s="73" t="str">
        <f t="shared" ca="1" si="18"/>
        <v/>
      </c>
      <c r="I84" s="136" t="str">
        <f t="shared" ca="1" si="19"/>
        <v/>
      </c>
      <c r="J84" s="138" t="str">
        <f t="shared" ca="1" si="20"/>
        <v/>
      </c>
      <c r="K84" s="73" t="str">
        <f t="shared" ca="1" si="21"/>
        <v/>
      </c>
      <c r="L84" s="136" t="str">
        <f t="shared" ca="1" si="22"/>
        <v/>
      </c>
      <c r="M84" s="138" t="str">
        <f t="shared" ca="1" si="23"/>
        <v/>
      </c>
      <c r="N84" s="73" t="str">
        <f t="shared" ca="1" si="24"/>
        <v/>
      </c>
      <c r="O84" s="136" t="str">
        <f t="shared" ca="1" si="25"/>
        <v/>
      </c>
    </row>
    <row r="85" spans="1:15" ht="16.5" customHeight="1">
      <c r="A85" s="155">
        <v>26</v>
      </c>
      <c r="B85" s="155" t="str">
        <f>TEXT(투자전략!$G$1+25, "[$-ko-KR]yyyy.mm.dd")</f>
        <v>2021.05.26</v>
      </c>
      <c r="C85" s="134" t="str">
        <f t="shared" ca="1" si="13"/>
        <v/>
      </c>
      <c r="D85" s="138" t="str">
        <f t="shared" ca="1" si="14"/>
        <v/>
      </c>
      <c r="E85" s="73" t="str">
        <f t="shared" ca="1" si="15"/>
        <v/>
      </c>
      <c r="F85" s="136" t="str">
        <f t="shared" ca="1" si="16"/>
        <v/>
      </c>
      <c r="G85" s="138" t="str">
        <f t="shared" ca="1" si="17"/>
        <v/>
      </c>
      <c r="H85" s="73" t="str">
        <f t="shared" ca="1" si="18"/>
        <v/>
      </c>
      <c r="I85" s="136" t="str">
        <f t="shared" ca="1" si="19"/>
        <v/>
      </c>
      <c r="J85" s="138" t="str">
        <f t="shared" ca="1" si="20"/>
        <v/>
      </c>
      <c r="K85" s="73" t="str">
        <f t="shared" ca="1" si="21"/>
        <v/>
      </c>
      <c r="L85" s="136" t="str">
        <f t="shared" ca="1" si="22"/>
        <v/>
      </c>
      <c r="M85" s="138" t="str">
        <f t="shared" ca="1" si="23"/>
        <v/>
      </c>
      <c r="N85" s="73" t="str">
        <f t="shared" ca="1" si="24"/>
        <v/>
      </c>
      <c r="O85" s="136" t="str">
        <f t="shared" ca="1" si="25"/>
        <v/>
      </c>
    </row>
    <row r="86" spans="1:15" ht="16.5" customHeight="1">
      <c r="A86" s="155">
        <v>27</v>
      </c>
      <c r="B86" s="155" t="str">
        <f>TEXT(투자전략!$G$1+26, "[$-ko-KR]yyyy.mm.dd")</f>
        <v>2021.05.27</v>
      </c>
      <c r="C86" s="134" t="str">
        <f t="shared" ca="1" si="13"/>
        <v/>
      </c>
      <c r="D86" s="138" t="str">
        <f t="shared" ca="1" si="14"/>
        <v/>
      </c>
      <c r="E86" s="73" t="str">
        <f t="shared" ca="1" si="15"/>
        <v/>
      </c>
      <c r="F86" s="136" t="str">
        <f t="shared" ca="1" si="16"/>
        <v/>
      </c>
      <c r="G86" s="138" t="str">
        <f t="shared" ca="1" si="17"/>
        <v/>
      </c>
      <c r="H86" s="73" t="str">
        <f t="shared" ca="1" si="18"/>
        <v/>
      </c>
      <c r="I86" s="136" t="str">
        <f t="shared" ca="1" si="19"/>
        <v/>
      </c>
      <c r="J86" s="138" t="str">
        <f t="shared" ca="1" si="20"/>
        <v/>
      </c>
      <c r="K86" s="73" t="str">
        <f t="shared" ca="1" si="21"/>
        <v/>
      </c>
      <c r="L86" s="136" t="str">
        <f t="shared" ca="1" si="22"/>
        <v/>
      </c>
      <c r="M86" s="138" t="str">
        <f t="shared" ca="1" si="23"/>
        <v/>
      </c>
      <c r="N86" s="73" t="str">
        <f t="shared" ca="1" si="24"/>
        <v/>
      </c>
      <c r="O86" s="136" t="str">
        <f t="shared" ca="1" si="25"/>
        <v/>
      </c>
    </row>
    <row r="87" spans="1:15" ht="16.5" customHeight="1" thickBot="1">
      <c r="A87" s="157">
        <v>28</v>
      </c>
      <c r="B87" s="157" t="str">
        <f>TEXT(투자전략!$G$1+27, "[$-ko-KR]yyyy.mm.dd")</f>
        <v>2021.05.28</v>
      </c>
      <c r="C87" s="135" t="str">
        <f t="shared" ca="1" si="13"/>
        <v/>
      </c>
      <c r="D87" s="139" t="str">
        <f t="shared" ca="1" si="14"/>
        <v/>
      </c>
      <c r="E87" s="75" t="str">
        <f t="shared" ca="1" si="15"/>
        <v/>
      </c>
      <c r="F87" s="137" t="str">
        <f t="shared" ca="1" si="16"/>
        <v/>
      </c>
      <c r="G87" s="139" t="str">
        <f t="shared" ca="1" si="17"/>
        <v/>
      </c>
      <c r="H87" s="75" t="str">
        <f t="shared" ca="1" si="18"/>
        <v/>
      </c>
      <c r="I87" s="137" t="str">
        <f t="shared" ca="1" si="19"/>
        <v/>
      </c>
      <c r="J87" s="139" t="str">
        <f t="shared" ca="1" si="20"/>
        <v/>
      </c>
      <c r="K87" s="75" t="str">
        <f t="shared" ca="1" si="21"/>
        <v/>
      </c>
      <c r="L87" s="137" t="str">
        <f t="shared" ca="1" si="22"/>
        <v/>
      </c>
      <c r="M87" s="139" t="str">
        <f t="shared" ca="1" si="23"/>
        <v/>
      </c>
      <c r="N87" s="75" t="str">
        <f t="shared" ca="1" si="24"/>
        <v/>
      </c>
      <c r="O87" s="137" t="str">
        <f t="shared" ca="1" si="25"/>
        <v/>
      </c>
    </row>
    <row r="88" spans="1:15" ht="16.5" customHeight="1">
      <c r="A88" s="120">
        <v>29</v>
      </c>
      <c r="B88" s="156" t="str">
        <f>TEXT(투자전략!$G$1+28, "[$-ko-KR]yyyy.mm.dd")</f>
        <v>2021.05.29</v>
      </c>
      <c r="C88" s="134" t="str">
        <f t="shared" ca="1" si="13"/>
        <v/>
      </c>
      <c r="D88" s="138" t="str">
        <f t="shared" ca="1" si="14"/>
        <v/>
      </c>
      <c r="E88" s="73" t="str">
        <f t="shared" ca="1" si="15"/>
        <v/>
      </c>
      <c r="F88" s="136" t="str">
        <f t="shared" ca="1" si="16"/>
        <v/>
      </c>
      <c r="G88" s="138" t="str">
        <f t="shared" ca="1" si="17"/>
        <v/>
      </c>
      <c r="H88" s="73" t="str">
        <f t="shared" ca="1" si="18"/>
        <v/>
      </c>
      <c r="I88" s="136" t="str">
        <f t="shared" ca="1" si="19"/>
        <v/>
      </c>
      <c r="J88" s="138" t="str">
        <f t="shared" ca="1" si="20"/>
        <v/>
      </c>
      <c r="K88" s="73" t="str">
        <f t="shared" ca="1" si="21"/>
        <v/>
      </c>
      <c r="L88" s="136" t="str">
        <f t="shared" ca="1" si="22"/>
        <v/>
      </c>
      <c r="M88" s="138" t="str">
        <f t="shared" ca="1" si="23"/>
        <v/>
      </c>
      <c r="N88" s="73" t="str">
        <f t="shared" ca="1" si="24"/>
        <v/>
      </c>
      <c r="O88" s="136" t="str">
        <f t="shared" ca="1" si="25"/>
        <v/>
      </c>
    </row>
    <row r="89" spans="1:15" ht="16.5" customHeight="1">
      <c r="A89" s="120">
        <v>30</v>
      </c>
      <c r="B89" s="155" t="str">
        <f>TEXT(투자전략!$G$1+29, "[$-ko-KR]yyyy.mm.dd")</f>
        <v>2021.05.30</v>
      </c>
      <c r="C89" s="134" t="str">
        <f t="shared" ca="1" si="13"/>
        <v/>
      </c>
      <c r="D89" s="138" t="str">
        <f t="shared" ca="1" si="14"/>
        <v/>
      </c>
      <c r="E89" s="73" t="str">
        <f t="shared" ca="1" si="15"/>
        <v/>
      </c>
      <c r="F89" s="136" t="str">
        <f t="shared" ca="1" si="16"/>
        <v/>
      </c>
      <c r="G89" s="138" t="str">
        <f t="shared" ca="1" si="17"/>
        <v/>
      </c>
      <c r="H89" s="73" t="str">
        <f t="shared" ca="1" si="18"/>
        <v/>
      </c>
      <c r="I89" s="136" t="str">
        <f t="shared" ca="1" si="19"/>
        <v/>
      </c>
      <c r="J89" s="138" t="str">
        <f t="shared" ca="1" si="20"/>
        <v/>
      </c>
      <c r="K89" s="73" t="str">
        <f t="shared" ca="1" si="21"/>
        <v/>
      </c>
      <c r="L89" s="136" t="str">
        <f t="shared" ca="1" si="22"/>
        <v/>
      </c>
      <c r="M89" s="138" t="str">
        <f t="shared" ca="1" si="23"/>
        <v/>
      </c>
      <c r="N89" s="73" t="str">
        <f t="shared" ca="1" si="24"/>
        <v/>
      </c>
      <c r="O89" s="136" t="str">
        <f t="shared" ca="1" si="25"/>
        <v/>
      </c>
    </row>
    <row r="90" spans="1:15" ht="16.5" customHeight="1" thickBot="1">
      <c r="A90" s="120">
        <v>31</v>
      </c>
      <c r="B90" s="155" t="str">
        <f>TEXT(투자전략!$G$1+30, "[$-ko-KR]yyyy.mm.dd")</f>
        <v>2021.05.31</v>
      </c>
      <c r="C90" s="135" t="str">
        <f t="shared" ca="1" si="13"/>
        <v/>
      </c>
      <c r="D90" s="139" t="str">
        <f t="shared" ca="1" si="14"/>
        <v/>
      </c>
      <c r="E90" s="75" t="str">
        <f t="shared" ca="1" si="15"/>
        <v/>
      </c>
      <c r="F90" s="137" t="str">
        <f t="shared" ca="1" si="16"/>
        <v/>
      </c>
      <c r="G90" s="139" t="str">
        <f t="shared" ca="1" si="17"/>
        <v/>
      </c>
      <c r="H90" s="75" t="str">
        <f t="shared" ca="1" si="18"/>
        <v/>
      </c>
      <c r="I90" s="137" t="str">
        <f t="shared" ca="1" si="19"/>
        <v/>
      </c>
      <c r="J90" s="139" t="str">
        <f t="shared" ca="1" si="20"/>
        <v/>
      </c>
      <c r="K90" s="75" t="str">
        <f t="shared" ca="1" si="21"/>
        <v/>
      </c>
      <c r="L90" s="137" t="str">
        <f t="shared" ca="1" si="22"/>
        <v/>
      </c>
      <c r="M90" s="139" t="str">
        <f t="shared" ca="1" si="23"/>
        <v/>
      </c>
      <c r="N90" s="75" t="str">
        <f t="shared" ca="1" si="24"/>
        <v/>
      </c>
      <c r="O90" s="137" t="str">
        <f t="shared" ca="1" si="25"/>
        <v/>
      </c>
    </row>
    <row r="91" spans="1:15" ht="16.5" customHeight="1" thickBot="1">
      <c r="A91" s="258" t="s">
        <v>319</v>
      </c>
      <c r="B91" s="260"/>
      <c r="C91" s="131" t="s">
        <v>314</v>
      </c>
      <c r="D91" s="149" t="s">
        <v>315</v>
      </c>
      <c r="E91" s="150" t="s">
        <v>316</v>
      </c>
      <c r="F91" s="151" t="s">
        <v>317</v>
      </c>
      <c r="G91" s="149" t="s">
        <v>315</v>
      </c>
      <c r="H91" s="150" t="s">
        <v>316</v>
      </c>
      <c r="I91" s="151" t="s">
        <v>317</v>
      </c>
      <c r="J91" s="149" t="s">
        <v>315</v>
      </c>
      <c r="K91" s="150" t="s">
        <v>316</v>
      </c>
      <c r="L91" s="151" t="s">
        <v>317</v>
      </c>
      <c r="M91" s="149" t="s">
        <v>315</v>
      </c>
      <c r="N91" s="150" t="s">
        <v>316</v>
      </c>
      <c r="O91" s="151" t="s">
        <v>317</v>
      </c>
    </row>
    <row r="92" spans="1:15" ht="16.5" customHeight="1" thickBot="1">
      <c r="A92" s="264"/>
      <c r="B92" s="266"/>
      <c r="C92" s="135">
        <f ca="1">SUM(C60:C90)</f>
        <v>56100000</v>
      </c>
      <c r="D92" s="139">
        <f ca="1">SUM(D60:D90)</f>
        <v>55488482.343636349</v>
      </c>
      <c r="E92" s="75">
        <f ca="1">IFERROR(F92 / (SUM($C60:$C90) / COUNT($C60:$C90)), 0)</f>
        <v>-0.17440788773294846</v>
      </c>
      <c r="F92" s="137">
        <f ca="1">SUM(F60:F90)</f>
        <v>-611517.65636365057</v>
      </c>
      <c r="G92" s="139">
        <f ca="1">SUM(G60:G90)</f>
        <v>55611666.297253996</v>
      </c>
      <c r="H92" s="75">
        <f ca="1">IFERROR(I92 / (SUM($C60:$C90) / COUNT($C60:$C90)), 0)</f>
        <v>-0.13927520933931986</v>
      </c>
      <c r="I92" s="137">
        <f ca="1">SUM(I60:I90)</f>
        <v>-488333.70274599025</v>
      </c>
      <c r="J92" s="139">
        <f ca="1">SUM(J60:J90)</f>
        <v>55877005.490167879</v>
      </c>
      <c r="K92" s="75">
        <f ca="1">IFERROR(L92 / (SUM($C60:$C90) / COUNT($C60:$C90)), 0)</f>
        <v>-6.359914718919922E-2</v>
      </c>
      <c r="L92" s="137">
        <f ca="1">SUM(L60:L90)</f>
        <v>-222994.50983212978</v>
      </c>
      <c r="M92" s="139">
        <f ca="1">SUM(M60:M90)</f>
        <v>55625271.578006417</v>
      </c>
      <c r="N92" s="75">
        <f ca="1">IFERROR(O92 / (SUM($C60:$C90) / COUNT($C60:$C90)), 0)</f>
        <v>-0.13539491536358916</v>
      </c>
      <c r="O92" s="137">
        <f ca="1">SUM(O60:O90)</f>
        <v>-474728.42199358449</v>
      </c>
    </row>
    <row r="94" spans="1:15" ht="16.5" customHeight="1" thickBot="1"/>
    <row r="95" spans="1:15" ht="16.5" customHeight="1" thickBot="1">
      <c r="A95" s="249" t="str">
        <f>TEXT(투자전략!$G$1, "[$-ko-KR]yyyy년 mm월 ") &amp; "[동전코인] 전일대비 상승률 Top20 월말결산"</f>
        <v>2021년 05월 [동전코인] 전일대비 상승률 Top20 월말결산</v>
      </c>
      <c r="B95" s="250"/>
      <c r="C95" s="250"/>
      <c r="D95" s="250"/>
      <c r="E95" s="250"/>
      <c r="F95" s="250"/>
      <c r="G95" s="250"/>
      <c r="H95" s="250"/>
      <c r="I95" s="250"/>
      <c r="J95" s="250"/>
      <c r="K95" s="250"/>
      <c r="L95" s="250"/>
      <c r="M95" s="250"/>
      <c r="N95" s="250"/>
      <c r="O95" s="251"/>
    </row>
    <row r="96" spans="1:15" ht="16.5" customHeight="1" thickBot="1">
      <c r="A96" s="310" t="s">
        <v>320</v>
      </c>
      <c r="B96" s="264" t="s">
        <v>318</v>
      </c>
      <c r="C96" s="266"/>
      <c r="D96" s="264" t="s">
        <v>310</v>
      </c>
      <c r="E96" s="265"/>
      <c r="F96" s="266"/>
      <c r="G96" s="264" t="s">
        <v>311</v>
      </c>
      <c r="H96" s="265"/>
      <c r="I96" s="266"/>
      <c r="J96" s="264" t="s">
        <v>312</v>
      </c>
      <c r="K96" s="265"/>
      <c r="L96" s="266"/>
      <c r="M96" s="264" t="s">
        <v>313</v>
      </c>
      <c r="N96" s="265"/>
      <c r="O96" s="266"/>
    </row>
    <row r="97" spans="1:15" ht="16.5" customHeight="1" thickBot="1">
      <c r="A97" s="314"/>
      <c r="B97" s="156" t="s">
        <v>308</v>
      </c>
      <c r="C97" s="156" t="s">
        <v>42</v>
      </c>
      <c r="D97" s="120" t="s">
        <v>309</v>
      </c>
      <c r="E97" s="132" t="s">
        <v>40</v>
      </c>
      <c r="F97" s="158" t="s">
        <v>41</v>
      </c>
      <c r="G97" s="120" t="s">
        <v>309</v>
      </c>
      <c r="H97" s="132" t="s">
        <v>40</v>
      </c>
      <c r="I97" s="158" t="s">
        <v>41</v>
      </c>
      <c r="J97" s="120" t="s">
        <v>309</v>
      </c>
      <c r="K97" s="132" t="s">
        <v>40</v>
      </c>
      <c r="L97" s="158" t="s">
        <v>41</v>
      </c>
      <c r="M97" s="120" t="s">
        <v>309</v>
      </c>
      <c r="N97" s="132" t="s">
        <v>40</v>
      </c>
      <c r="O97" s="158" t="s">
        <v>41</v>
      </c>
    </row>
    <row r="98" spans="1:15" ht="16.5" customHeight="1">
      <c r="A98" s="156">
        <v>1</v>
      </c>
      <c r="B98" s="156" t="str">
        <f>TEXT(투자전략!$G$1+0, "[$-ko-KR]yyyy.mm.dd")</f>
        <v>2021.05.01</v>
      </c>
      <c r="C98" s="133">
        <f ca="1">IFERROR(COUNTA(INDIRECT($B98&amp;"!A71:A90")) * INDIRECT($B98&amp;"!B91"), "")</f>
        <v>6000000</v>
      </c>
      <c r="D98" s="141">
        <f ca="1">IFERROR($C98 * (1 + E98), "")</f>
        <v>6184486.4255649652</v>
      </c>
      <c r="E98" s="72">
        <f ca="1">IFERROR(INDIRECT($B98&amp;"!E91"), "")</f>
        <v>3.0747737594160929E-2</v>
      </c>
      <c r="F98" s="140">
        <f ca="1">IFERROR(INDIRECT($B98&amp;"!F91"), "")</f>
        <v>184486.42556496555</v>
      </c>
      <c r="G98" s="141">
        <f ca="1">IFERROR($C98 * (1 + H98), "")</f>
        <v>6114970.0911680311</v>
      </c>
      <c r="H98" s="72">
        <f ca="1">IFERROR(INDIRECT($B98&amp;"!H91"), "")</f>
        <v>1.9161681861338504E-2</v>
      </c>
      <c r="I98" s="140">
        <f ca="1">IFERROR(INDIRECT($B98&amp;"!I91"), "")</f>
        <v>114970.09116803102</v>
      </c>
      <c r="J98" s="141">
        <f ca="1">IFERROR($C98 * (1 + K98), "")</f>
        <v>6194970.8295751177</v>
      </c>
      <c r="K98" s="72">
        <f ca="1">IFERROR(INDIRECT($B98&amp;"!K91"), "")</f>
        <v>3.2495138262519693E-2</v>
      </c>
      <c r="L98" s="140">
        <f ca="1">IFERROR(INDIRECT($B98&amp;"!L91"), "")</f>
        <v>194970.82957511808</v>
      </c>
      <c r="M98" s="141">
        <f ca="1">IFERROR($C98 * (1 + N98), "")</f>
        <v>6147439.3665411985</v>
      </c>
      <c r="N98" s="72">
        <f ca="1">IFERROR(INDIRECT($B98&amp;"!N91"), "")</f>
        <v>2.4573227756866368E-2</v>
      </c>
      <c r="O98" s="140">
        <f ca="1">IFERROR(INDIRECT($B98&amp;"!O91"), "")</f>
        <v>147439.36654119819</v>
      </c>
    </row>
    <row r="99" spans="1:15" ht="16.5" customHeight="1">
      <c r="A99" s="155">
        <v>2</v>
      </c>
      <c r="B99" s="155" t="str">
        <f>TEXT(투자전략!$G$1+1, "[$-ko-KR]yyyy.mm.dd")</f>
        <v>2021.05.02</v>
      </c>
      <c r="C99" s="134">
        <f t="shared" ref="C99:C128" ca="1" si="26">IFERROR(COUNTA(INDIRECT($B99&amp;"!A71:A90")) * INDIRECT($B99&amp;"!B91"), "")</f>
        <v>6000000</v>
      </c>
      <c r="D99" s="138">
        <f t="shared" ref="D99:D128" ca="1" si="27">IFERROR($C99 * (1 + E99), "")</f>
        <v>5982819.4308755761</v>
      </c>
      <c r="E99" s="73">
        <f t="shared" ref="E99:E128" ca="1" si="28">IFERROR(INDIRECT($B99&amp;"!E91"), "")</f>
        <v>-2.863428187403949E-3</v>
      </c>
      <c r="F99" s="136">
        <f t="shared" ref="F99:F128" ca="1" si="29">IFERROR(INDIRECT($B99&amp;"!F91"), "")</f>
        <v>-17180.569124423695</v>
      </c>
      <c r="G99" s="138">
        <f t="shared" ref="G99:G128" ca="1" si="30">IFERROR($C99 * (1 + H99), "")</f>
        <v>5990283.0231446996</v>
      </c>
      <c r="H99" s="73">
        <f t="shared" ref="H99:H128" ca="1" si="31">IFERROR(INDIRECT($B99&amp;"!H91"), "")</f>
        <v>-1.6194961425501017E-3</v>
      </c>
      <c r="I99" s="136">
        <f t="shared" ref="I99:I128" ca="1" si="32">IFERROR(INDIRECT($B99&amp;"!I91"), "")</f>
        <v>-9716.9768553006252</v>
      </c>
      <c r="J99" s="138">
        <f t="shared" ref="J99:J128" ca="1" si="33">IFERROR($C99 * (1 + K99), "")</f>
        <v>6021894.870766893</v>
      </c>
      <c r="K99" s="73">
        <f t="shared" ref="K99:K128" ca="1" si="34">IFERROR(INDIRECT($B99&amp;"!K91"), "")</f>
        <v>3.6491451278155467E-3</v>
      </c>
      <c r="L99" s="136">
        <f t="shared" ref="L99:L128" ca="1" si="35">IFERROR(INDIRECT($B99&amp;"!L91"), "")</f>
        <v>21894.870766893284</v>
      </c>
      <c r="M99" s="138">
        <f t="shared" ref="M99:M128" ca="1" si="36">IFERROR($C99 * (1 + N99), "")</f>
        <v>6051490.358055776</v>
      </c>
      <c r="N99" s="73">
        <f t="shared" ref="N99:N128" ca="1" si="37">IFERROR(INDIRECT($B99&amp;"!N91"), "")</f>
        <v>8.581726342629362E-3</v>
      </c>
      <c r="O99" s="136">
        <f t="shared" ref="O99:O128" ca="1" si="38">IFERROR(INDIRECT($B99&amp;"!O91"), "")</f>
        <v>51490.358055776174</v>
      </c>
    </row>
    <row r="100" spans="1:15" ht="16.5" customHeight="1">
      <c r="A100" s="155">
        <v>3</v>
      </c>
      <c r="B100" s="155" t="str">
        <f>TEXT(투자전략!$G$1+2, "[$-ko-KR]yyyy.mm.dd")</f>
        <v>2021.05.03</v>
      </c>
      <c r="C100" s="134">
        <f t="shared" ca="1" si="26"/>
        <v>6000000</v>
      </c>
      <c r="D100" s="138">
        <f t="shared" ca="1" si="27"/>
        <v>6172508.5939996438</v>
      </c>
      <c r="E100" s="73">
        <f t="shared" ca="1" si="28"/>
        <v>2.8751432333274062E-2</v>
      </c>
      <c r="F100" s="136">
        <f t="shared" ca="1" si="29"/>
        <v>172508.59399964436</v>
      </c>
      <c r="G100" s="138">
        <f t="shared" ca="1" si="30"/>
        <v>6233686.7788462183</v>
      </c>
      <c r="H100" s="73">
        <f t="shared" ca="1" si="31"/>
        <v>3.8947796474369689E-2</v>
      </c>
      <c r="I100" s="136">
        <f t="shared" ca="1" si="32"/>
        <v>233686.77884621805</v>
      </c>
      <c r="J100" s="138">
        <f t="shared" ca="1" si="33"/>
        <v>6289422.7420696653</v>
      </c>
      <c r="K100" s="73">
        <f t="shared" ca="1" si="34"/>
        <v>4.8237123678277566E-2</v>
      </c>
      <c r="L100" s="136">
        <f t="shared" ca="1" si="35"/>
        <v>289422.74206966534</v>
      </c>
      <c r="M100" s="138">
        <f t="shared" ca="1" si="36"/>
        <v>6195461.6913859444</v>
      </c>
      <c r="N100" s="73">
        <f t="shared" ca="1" si="37"/>
        <v>3.2576948564324033E-2</v>
      </c>
      <c r="O100" s="136">
        <f t="shared" ca="1" si="38"/>
        <v>195461.69138594417</v>
      </c>
    </row>
    <row r="101" spans="1:15" ht="16.5" customHeight="1">
      <c r="A101" s="155">
        <v>4</v>
      </c>
      <c r="B101" s="155" t="str">
        <f>TEXT(투자전략!$G$1+3, "[$-ko-KR]yyyy.mm.dd")</f>
        <v>2021.05.04</v>
      </c>
      <c r="C101" s="134">
        <f t="shared" ca="1" si="26"/>
        <v>6000000</v>
      </c>
      <c r="D101" s="138">
        <f t="shared" ca="1" si="27"/>
        <v>5878310.7276261421</v>
      </c>
      <c r="E101" s="73">
        <f t="shared" ca="1" si="28"/>
        <v>-2.0281545395642968E-2</v>
      </c>
      <c r="F101" s="136">
        <f t="shared" ca="1" si="29"/>
        <v>-121689.27237385782</v>
      </c>
      <c r="G101" s="138">
        <f t="shared" ca="1" si="30"/>
        <v>5985906.1143582687</v>
      </c>
      <c r="H101" s="73">
        <f t="shared" ca="1" si="31"/>
        <v>-2.3489809402885697E-3</v>
      </c>
      <c r="I101" s="136">
        <f t="shared" ca="1" si="32"/>
        <v>-14093.885641731413</v>
      </c>
      <c r="J101" s="138">
        <f t="shared" ca="1" si="33"/>
        <v>6006627.6945339618</v>
      </c>
      <c r="K101" s="73">
        <f t="shared" ca="1" si="34"/>
        <v>1.1046157556602802E-3</v>
      </c>
      <c r="L101" s="136">
        <f t="shared" ca="1" si="35"/>
        <v>6627.6945339616759</v>
      </c>
      <c r="M101" s="138">
        <f t="shared" ca="1" si="36"/>
        <v>5821671.7144620856</v>
      </c>
      <c r="N101" s="73">
        <f t="shared" ca="1" si="37"/>
        <v>-2.9721380922985652E-2</v>
      </c>
      <c r="O101" s="136">
        <f t="shared" ca="1" si="38"/>
        <v>-178328.28553791397</v>
      </c>
    </row>
    <row r="102" spans="1:15" ht="16.5" customHeight="1">
      <c r="A102" s="155">
        <v>5</v>
      </c>
      <c r="B102" s="155" t="str">
        <f>TEXT(투자전략!$G$1+4, "[$-ko-KR]yyyy.mm.dd")</f>
        <v>2021.05.05</v>
      </c>
      <c r="C102" s="134">
        <f t="shared" ca="1" si="26"/>
        <v>3000000</v>
      </c>
      <c r="D102" s="138">
        <f t="shared" ca="1" si="27"/>
        <v>2966021.1131484676</v>
      </c>
      <c r="E102" s="73">
        <f t="shared" ca="1" si="28"/>
        <v>-1.1326295617177452E-2</v>
      </c>
      <c r="F102" s="136">
        <f t="shared" ca="1" si="29"/>
        <v>-33978.886851532356</v>
      </c>
      <c r="G102" s="138">
        <f t="shared" ca="1" si="30"/>
        <v>2992445.553707548</v>
      </c>
      <c r="H102" s="73">
        <f t="shared" ca="1" si="31"/>
        <v>-2.5181487641507132E-3</v>
      </c>
      <c r="I102" s="136">
        <f t="shared" ca="1" si="32"/>
        <v>-7554.4462924521331</v>
      </c>
      <c r="J102" s="138">
        <f t="shared" ca="1" si="33"/>
        <v>2968457.8401459786</v>
      </c>
      <c r="K102" s="73">
        <f t="shared" ca="1" si="34"/>
        <v>-1.0514053284673846E-2</v>
      </c>
      <c r="L102" s="136">
        <f t="shared" ca="1" si="35"/>
        <v>-31542.159854021535</v>
      </c>
      <c r="M102" s="138">
        <f t="shared" ca="1" si="36"/>
        <v>2996816.697478069</v>
      </c>
      <c r="N102" s="73">
        <f t="shared" ca="1" si="37"/>
        <v>-1.061100840643723E-3</v>
      </c>
      <c r="O102" s="136">
        <f t="shared" ca="1" si="38"/>
        <v>-3183.3025219311785</v>
      </c>
    </row>
    <row r="103" spans="1:15" ht="16.5" customHeight="1">
      <c r="A103" s="155">
        <v>6</v>
      </c>
      <c r="B103" s="155" t="str">
        <f>TEXT(투자전략!$G$1+5, "[$-ko-KR]yyyy.mm.dd")</f>
        <v>2021.05.06</v>
      </c>
      <c r="C103" s="134">
        <f t="shared" ca="1" si="26"/>
        <v>3000000</v>
      </c>
      <c r="D103" s="138">
        <f t="shared" ca="1" si="27"/>
        <v>3119584.9986450379</v>
      </c>
      <c r="E103" s="73">
        <f t="shared" ca="1" si="28"/>
        <v>3.9861666215012595E-2</v>
      </c>
      <c r="F103" s="136">
        <f t="shared" ca="1" si="29"/>
        <v>119584.99864503778</v>
      </c>
      <c r="G103" s="138">
        <f t="shared" ca="1" si="30"/>
        <v>3122268.4733913504</v>
      </c>
      <c r="H103" s="73">
        <f t="shared" ca="1" si="31"/>
        <v>4.075615779711661E-2</v>
      </c>
      <c r="I103" s="136">
        <f t="shared" ca="1" si="32"/>
        <v>122268.47339134986</v>
      </c>
      <c r="J103" s="138">
        <f t="shared" ca="1" si="33"/>
        <v>3138122.4139355095</v>
      </c>
      <c r="K103" s="73">
        <f t="shared" ca="1" si="34"/>
        <v>4.6040804645169853E-2</v>
      </c>
      <c r="L103" s="136">
        <f t="shared" ca="1" si="35"/>
        <v>138122.41393550954</v>
      </c>
      <c r="M103" s="138">
        <f t="shared" ca="1" si="36"/>
        <v>3157026.6513397433</v>
      </c>
      <c r="N103" s="73">
        <f t="shared" ca="1" si="37"/>
        <v>5.2342217113247692E-2</v>
      </c>
      <c r="O103" s="136">
        <f t="shared" ca="1" si="38"/>
        <v>157026.65133974305</v>
      </c>
    </row>
    <row r="104" spans="1:15" ht="16.5" customHeight="1" thickBot="1">
      <c r="A104" s="157">
        <v>7</v>
      </c>
      <c r="B104" s="157" t="str">
        <f>TEXT(투자전략!$G$1+6, "[$-ko-KR]yyyy.mm.dd")</f>
        <v>2021.05.07</v>
      </c>
      <c r="C104" s="134">
        <f t="shared" ca="1" si="26"/>
        <v>3000000</v>
      </c>
      <c r="D104" s="138">
        <f t="shared" ca="1" si="27"/>
        <v>2942379.5073426478</v>
      </c>
      <c r="E104" s="73">
        <f t="shared" ca="1" si="28"/>
        <v>-1.9206830885784058E-2</v>
      </c>
      <c r="F104" s="136">
        <f t="shared" ca="1" si="29"/>
        <v>-57620.492657352181</v>
      </c>
      <c r="G104" s="138">
        <f t="shared" ca="1" si="30"/>
        <v>3038538.755884374</v>
      </c>
      <c r="H104" s="73">
        <f t="shared" ca="1" si="31"/>
        <v>1.2846251961457967E-2</v>
      </c>
      <c r="I104" s="136">
        <f t="shared" ca="1" si="32"/>
        <v>38538.75588437391</v>
      </c>
      <c r="J104" s="138">
        <f t="shared" ca="1" si="33"/>
        <v>3122788.4909962537</v>
      </c>
      <c r="K104" s="73">
        <f t="shared" ca="1" si="34"/>
        <v>4.0929496998751161E-2</v>
      </c>
      <c r="L104" s="136">
        <f t="shared" ca="1" si="35"/>
        <v>122788.49099625349</v>
      </c>
      <c r="M104" s="138">
        <f t="shared" ca="1" si="36"/>
        <v>3138126.934495029</v>
      </c>
      <c r="N104" s="73">
        <f t="shared" ca="1" si="37"/>
        <v>4.6042311498343036E-2</v>
      </c>
      <c r="O104" s="136">
        <f t="shared" ca="1" si="38"/>
        <v>138126.93449502913</v>
      </c>
    </row>
    <row r="105" spans="1:15" ht="16.5" customHeight="1">
      <c r="A105" s="156">
        <v>8</v>
      </c>
      <c r="B105" s="156" t="str">
        <f>TEXT(투자전략!$G$1+7, "[$-ko-KR]yyyy.mm.dd")</f>
        <v>2021.05.08</v>
      </c>
      <c r="C105" s="133">
        <f t="shared" ca="1" si="26"/>
        <v>3000000</v>
      </c>
      <c r="D105" s="141">
        <f t="shared" ca="1" si="27"/>
        <v>2884326.8672453905</v>
      </c>
      <c r="E105" s="72">
        <f t="shared" ca="1" si="28"/>
        <v>-3.8557710918203175E-2</v>
      </c>
      <c r="F105" s="140">
        <f t="shared" ca="1" si="29"/>
        <v>-115673.13275460956</v>
      </c>
      <c r="G105" s="141">
        <f t="shared" ca="1" si="30"/>
        <v>2949862.2004105402</v>
      </c>
      <c r="H105" s="72">
        <f t="shared" ca="1" si="31"/>
        <v>-1.6712599863153155E-2</v>
      </c>
      <c r="I105" s="140">
        <f t="shared" ca="1" si="32"/>
        <v>-50137.799589459471</v>
      </c>
      <c r="J105" s="141">
        <f t="shared" ca="1" si="33"/>
        <v>2956997.5621036557</v>
      </c>
      <c r="K105" s="72">
        <f t="shared" ca="1" si="34"/>
        <v>-1.4334145965448158E-2</v>
      </c>
      <c r="L105" s="140">
        <f t="shared" ca="1" si="35"/>
        <v>-43002.437896344491</v>
      </c>
      <c r="M105" s="141">
        <f t="shared" ca="1" si="36"/>
        <v>2926374.3422685754</v>
      </c>
      <c r="N105" s="72">
        <f t="shared" ca="1" si="37"/>
        <v>-2.4541885910474872E-2</v>
      </c>
      <c r="O105" s="140">
        <f t="shared" ca="1" si="38"/>
        <v>-73625.657731424639</v>
      </c>
    </row>
    <row r="106" spans="1:15" ht="16.5" customHeight="1">
      <c r="A106" s="155">
        <v>9</v>
      </c>
      <c r="B106" s="155" t="str">
        <f>TEXT(투자전략!$G$1+8, "[$-ko-KR]yyyy.mm.dd")</f>
        <v>2021.05.09</v>
      </c>
      <c r="C106" s="134">
        <f t="shared" ca="1" si="26"/>
        <v>3000000</v>
      </c>
      <c r="D106" s="138">
        <f t="shared" ca="1" si="27"/>
        <v>2892645.6141870604</v>
      </c>
      <c r="E106" s="73">
        <f t="shared" ca="1" si="28"/>
        <v>-3.578479527097992E-2</v>
      </c>
      <c r="F106" s="136">
        <f t="shared" ca="1" si="29"/>
        <v>-107354.3858129398</v>
      </c>
      <c r="G106" s="138">
        <f t="shared" ca="1" si="30"/>
        <v>2861890.344698505</v>
      </c>
      <c r="H106" s="73">
        <f t="shared" ca="1" si="31"/>
        <v>-4.6036551767165E-2</v>
      </c>
      <c r="I106" s="136">
        <f t="shared" ca="1" si="32"/>
        <v>-138109.65530149502</v>
      </c>
      <c r="J106" s="138">
        <f t="shared" ca="1" si="33"/>
        <v>2814003.195539474</v>
      </c>
      <c r="K106" s="73">
        <f t="shared" ca="1" si="34"/>
        <v>-6.1998934820175419E-2</v>
      </c>
      <c r="L106" s="136">
        <f t="shared" ca="1" si="35"/>
        <v>-185996.8044605263</v>
      </c>
      <c r="M106" s="138">
        <f t="shared" ca="1" si="36"/>
        <v>2831872.9450406865</v>
      </c>
      <c r="N106" s="73">
        <f t="shared" ca="1" si="37"/>
        <v>-5.6042351653104616E-2</v>
      </c>
      <c r="O106" s="136">
        <f t="shared" ca="1" si="38"/>
        <v>-168127.05495931386</v>
      </c>
    </row>
    <row r="107" spans="1:15" ht="16.5" customHeight="1">
      <c r="A107" s="155">
        <v>10</v>
      </c>
      <c r="B107" s="155" t="str">
        <f>TEXT(투자전략!$G$1+9, "[$-ko-KR]yyyy.mm.dd")</f>
        <v>2021.05.10</v>
      </c>
      <c r="C107" s="134">
        <f t="shared" ca="1" si="26"/>
        <v>3000000</v>
      </c>
      <c r="D107" s="138">
        <f t="shared" ca="1" si="27"/>
        <v>3043195.4481098079</v>
      </c>
      <c r="E107" s="73">
        <f t="shared" ca="1" si="28"/>
        <v>1.4398482703269253E-2</v>
      </c>
      <c r="F107" s="136">
        <f t="shared" ca="1" si="29"/>
        <v>43195.448109807767</v>
      </c>
      <c r="G107" s="138">
        <f t="shared" ca="1" si="30"/>
        <v>3076185.1648063501</v>
      </c>
      <c r="H107" s="73">
        <f t="shared" ca="1" si="31"/>
        <v>2.5395054935450044E-2</v>
      </c>
      <c r="I107" s="136">
        <f t="shared" ca="1" si="32"/>
        <v>76185.164806350134</v>
      </c>
      <c r="J107" s="138">
        <f t="shared" ca="1" si="33"/>
        <v>3045370.1058964198</v>
      </c>
      <c r="K107" s="73">
        <f t="shared" ca="1" si="34"/>
        <v>1.5123368632140022E-2</v>
      </c>
      <c r="L107" s="136">
        <f t="shared" ca="1" si="35"/>
        <v>45370.105896420064</v>
      </c>
      <c r="M107" s="138">
        <f t="shared" ca="1" si="36"/>
        <v>3022159.6815744699</v>
      </c>
      <c r="N107" s="73">
        <f t="shared" ca="1" si="37"/>
        <v>7.3865605248232382E-3</v>
      </c>
      <c r="O107" s="136">
        <f t="shared" ca="1" si="38"/>
        <v>22159.68157446972</v>
      </c>
    </row>
    <row r="108" spans="1:15" ht="16.5" customHeight="1">
      <c r="A108" s="155">
        <v>11</v>
      </c>
      <c r="B108" s="155" t="str">
        <f>TEXT(투자전략!$G$1+10, "[$-ko-KR]yyyy.mm.dd")</f>
        <v>2021.05.11</v>
      </c>
      <c r="C108" s="134">
        <f t="shared" ca="1" si="26"/>
        <v>3000000</v>
      </c>
      <c r="D108" s="138">
        <f t="shared" ca="1" si="27"/>
        <v>2767450.7952728267</v>
      </c>
      <c r="E108" s="73">
        <f t="shared" ca="1" si="28"/>
        <v>-7.7516401575724508E-2</v>
      </c>
      <c r="F108" s="136">
        <f t="shared" ca="1" si="29"/>
        <v>-232549.20472717355</v>
      </c>
      <c r="G108" s="138">
        <f t="shared" ca="1" si="30"/>
        <v>2855546.8723919964</v>
      </c>
      <c r="H108" s="73">
        <f t="shared" ca="1" si="31"/>
        <v>-4.815104253600113E-2</v>
      </c>
      <c r="I108" s="136">
        <f t="shared" ca="1" si="32"/>
        <v>-144453.12760800341</v>
      </c>
      <c r="J108" s="138">
        <f t="shared" ca="1" si="33"/>
        <v>2859750.0507155587</v>
      </c>
      <c r="K108" s="73">
        <f t="shared" ca="1" si="34"/>
        <v>-4.6749983094813721E-2</v>
      </c>
      <c r="L108" s="136">
        <f t="shared" ca="1" si="35"/>
        <v>-140249.94928444119</v>
      </c>
      <c r="M108" s="138">
        <f t="shared" ca="1" si="36"/>
        <v>2866695.8349403357</v>
      </c>
      <c r="N108" s="73">
        <f t="shared" ca="1" si="37"/>
        <v>-4.4434721686554698E-2</v>
      </c>
      <c r="O108" s="136">
        <f t="shared" ca="1" si="38"/>
        <v>-133304.16505966411</v>
      </c>
    </row>
    <row r="109" spans="1:15" ht="16.5" customHeight="1">
      <c r="A109" s="155">
        <v>12</v>
      </c>
      <c r="B109" s="155" t="str">
        <f>TEXT(투자전략!$G$1+11, "[$-ko-KR]yyyy.mm.dd")</f>
        <v>2021.05.12</v>
      </c>
      <c r="C109" s="134">
        <f t="shared" ca="1" si="26"/>
        <v>3000000</v>
      </c>
      <c r="D109" s="138">
        <f t="shared" ca="1" si="27"/>
        <v>3176688.7018758887</v>
      </c>
      <c r="E109" s="73">
        <f t="shared" ca="1" si="28"/>
        <v>5.8896233958629564E-2</v>
      </c>
      <c r="F109" s="136">
        <f t="shared" ca="1" si="29"/>
        <v>176688.70187588866</v>
      </c>
      <c r="G109" s="138">
        <f t="shared" ca="1" si="30"/>
        <v>3163220.0925150304</v>
      </c>
      <c r="H109" s="73">
        <f t="shared" ca="1" si="31"/>
        <v>5.4406697505010079E-2</v>
      </c>
      <c r="I109" s="136">
        <f t="shared" ca="1" si="32"/>
        <v>163220.09251503026</v>
      </c>
      <c r="J109" s="138">
        <f t="shared" ca="1" si="33"/>
        <v>3146771.4522625618</v>
      </c>
      <c r="K109" s="73">
        <f t="shared" ca="1" si="34"/>
        <v>4.892381742085395E-2</v>
      </c>
      <c r="L109" s="136">
        <f t="shared" ca="1" si="35"/>
        <v>146771.4522625618</v>
      </c>
      <c r="M109" s="138">
        <f t="shared" ca="1" si="36"/>
        <v>3041963.9482444436</v>
      </c>
      <c r="N109" s="73">
        <f t="shared" ca="1" si="37"/>
        <v>1.3987982748147901E-2</v>
      </c>
      <c r="O109" s="136">
        <f t="shared" ca="1" si="38"/>
        <v>41963.948244443702</v>
      </c>
    </row>
    <row r="110" spans="1:15" ht="16.5" customHeight="1">
      <c r="A110" s="155">
        <v>13</v>
      </c>
      <c r="B110" s="155" t="str">
        <f>TEXT(투자전략!$G$1+12, "[$-ko-KR]yyyy.mm.dd")</f>
        <v>2021.05.13</v>
      </c>
      <c r="C110" s="134">
        <f t="shared" ca="1" si="26"/>
        <v>3000000</v>
      </c>
      <c r="D110" s="138">
        <f t="shared" ca="1" si="27"/>
        <v>2727691.614006767</v>
      </c>
      <c r="E110" s="73">
        <f t="shared" ca="1" si="28"/>
        <v>-9.0769461997744327E-2</v>
      </c>
      <c r="F110" s="136">
        <f t="shared" ca="1" si="29"/>
        <v>-272308.38599323301</v>
      </c>
      <c r="G110" s="138">
        <f t="shared" ca="1" si="30"/>
        <v>2619795.5622342303</v>
      </c>
      <c r="H110" s="73">
        <f t="shared" ca="1" si="31"/>
        <v>-0.12673481258858987</v>
      </c>
      <c r="I110" s="136">
        <f t="shared" ca="1" si="32"/>
        <v>-380204.4377657696</v>
      </c>
      <c r="J110" s="138">
        <f t="shared" ca="1" si="33"/>
        <v>2662240.1774881082</v>
      </c>
      <c r="K110" s="73">
        <f t="shared" ca="1" si="34"/>
        <v>-0.11258660750396399</v>
      </c>
      <c r="L110" s="136">
        <f t="shared" ca="1" si="35"/>
        <v>-337759.82251189195</v>
      </c>
      <c r="M110" s="138">
        <f t="shared" ca="1" si="36"/>
        <v>2652687.7693149503</v>
      </c>
      <c r="N110" s="73">
        <f t="shared" ca="1" si="37"/>
        <v>-0.11577074356168315</v>
      </c>
      <c r="O110" s="136">
        <f t="shared" ca="1" si="38"/>
        <v>-347312.23068504955</v>
      </c>
    </row>
    <row r="111" spans="1:15" ht="16.5" customHeight="1" thickBot="1">
      <c r="A111" s="157">
        <v>14</v>
      </c>
      <c r="B111" s="157" t="str">
        <f>TEXT(투자전략!$G$1+13, "[$-ko-KR]yyyy.mm.dd")</f>
        <v>2021.05.14</v>
      </c>
      <c r="C111" s="135">
        <f t="shared" ca="1" si="26"/>
        <v>3000000</v>
      </c>
      <c r="D111" s="139">
        <f t="shared" ca="1" si="27"/>
        <v>3116732.5701252124</v>
      </c>
      <c r="E111" s="75">
        <f t="shared" ca="1" si="28"/>
        <v>3.8910856708404121E-2</v>
      </c>
      <c r="F111" s="137">
        <f t="shared" ca="1" si="29"/>
        <v>116732.57012521235</v>
      </c>
      <c r="G111" s="139">
        <f t="shared" ca="1" si="30"/>
        <v>3125443.3705773097</v>
      </c>
      <c r="H111" s="75">
        <f t="shared" ca="1" si="31"/>
        <v>4.1814456859103184E-2</v>
      </c>
      <c r="I111" s="137">
        <f t="shared" ca="1" si="32"/>
        <v>125443.37057730953</v>
      </c>
      <c r="J111" s="139">
        <f t="shared" ca="1" si="33"/>
        <v>3132353.758044628</v>
      </c>
      <c r="K111" s="75">
        <f t="shared" ca="1" si="34"/>
        <v>4.4117919348209307E-2</v>
      </c>
      <c r="L111" s="137">
        <f t="shared" ca="1" si="35"/>
        <v>132353.75804462793</v>
      </c>
      <c r="M111" s="139">
        <f t="shared" ca="1" si="36"/>
        <v>3121486.904137935</v>
      </c>
      <c r="N111" s="75">
        <f t="shared" ca="1" si="37"/>
        <v>4.0495634712645064E-2</v>
      </c>
      <c r="O111" s="137">
        <f t="shared" ca="1" si="38"/>
        <v>121486.90413793517</v>
      </c>
    </row>
    <row r="112" spans="1:15" ht="16.5" customHeight="1">
      <c r="A112" s="156">
        <v>15</v>
      </c>
      <c r="B112" s="156" t="str">
        <f>TEXT(투자전략!$G$1+14, "[$-ko-KR]yyyy.mm.dd")</f>
        <v>2021.05.15</v>
      </c>
      <c r="C112" s="134">
        <f t="shared" ca="1" si="26"/>
        <v>3000000</v>
      </c>
      <c r="D112" s="138">
        <f t="shared" ca="1" si="27"/>
        <v>3022013.3948886199</v>
      </c>
      <c r="E112" s="73">
        <f t="shared" ca="1" si="28"/>
        <v>7.3377982962066681E-3</v>
      </c>
      <c r="F112" s="136">
        <f t="shared" ca="1" si="29"/>
        <v>22013.394888620012</v>
      </c>
      <c r="G112" s="138">
        <f t="shared" ca="1" si="30"/>
        <v>2930013.056985802</v>
      </c>
      <c r="H112" s="73">
        <f t="shared" ca="1" si="31"/>
        <v>-2.3328981004732647E-2</v>
      </c>
      <c r="I112" s="136">
        <f t="shared" ca="1" si="32"/>
        <v>-69986.943014197939</v>
      </c>
      <c r="J112" s="138">
        <f t="shared" ca="1" si="33"/>
        <v>2968910.1045063739</v>
      </c>
      <c r="K112" s="73">
        <f t="shared" ca="1" si="34"/>
        <v>-1.0363298497875321E-2</v>
      </c>
      <c r="L112" s="136">
        <f t="shared" ca="1" si="35"/>
        <v>-31089.895493625954</v>
      </c>
      <c r="M112" s="138">
        <f t="shared" ca="1" si="36"/>
        <v>2984042.430041342</v>
      </c>
      <c r="N112" s="73">
        <f t="shared" ca="1" si="37"/>
        <v>-5.3191899862192358E-3</v>
      </c>
      <c r="O112" s="136">
        <f t="shared" ca="1" si="38"/>
        <v>-15957.569958657708</v>
      </c>
    </row>
    <row r="113" spans="1:15" ht="16.5" customHeight="1">
      <c r="A113" s="155">
        <v>16</v>
      </c>
      <c r="B113" s="155" t="str">
        <f>TEXT(투자전략!$G$1+15, "[$-ko-KR]yyyy.mm.dd")</f>
        <v>2021.05.16</v>
      </c>
      <c r="C113" s="134">
        <f t="shared" ca="1" si="26"/>
        <v>3000000</v>
      </c>
      <c r="D113" s="138">
        <f t="shared" ca="1" si="27"/>
        <v>3000000</v>
      </c>
      <c r="E113" s="73">
        <f t="shared" ca="1" si="28"/>
        <v>0</v>
      </c>
      <c r="F113" s="136">
        <f t="shared" ca="1" si="29"/>
        <v>0</v>
      </c>
      <c r="G113" s="138">
        <f t="shared" ca="1" si="30"/>
        <v>3000000</v>
      </c>
      <c r="H113" s="73">
        <f t="shared" ca="1" si="31"/>
        <v>0</v>
      </c>
      <c r="I113" s="136">
        <f t="shared" ca="1" si="32"/>
        <v>0</v>
      </c>
      <c r="J113" s="138">
        <f t="shared" ca="1" si="33"/>
        <v>3000000</v>
      </c>
      <c r="K113" s="73">
        <f t="shared" ca="1" si="34"/>
        <v>0</v>
      </c>
      <c r="L113" s="136">
        <f t="shared" ca="1" si="35"/>
        <v>0</v>
      </c>
      <c r="M113" s="138">
        <f t="shared" ca="1" si="36"/>
        <v>3000000</v>
      </c>
      <c r="N113" s="73">
        <f t="shared" ca="1" si="37"/>
        <v>0</v>
      </c>
      <c r="O113" s="136">
        <f t="shared" ca="1" si="38"/>
        <v>0</v>
      </c>
    </row>
    <row r="114" spans="1:15" ht="16.5" customHeight="1">
      <c r="A114" s="155">
        <v>17</v>
      </c>
      <c r="B114" s="155" t="str">
        <f>TEXT(투자전략!$G$1+16, "[$-ko-KR]yyyy.mm.dd")</f>
        <v>2021.05.17</v>
      </c>
      <c r="C114" s="134" t="str">
        <f t="shared" ca="1" si="26"/>
        <v/>
      </c>
      <c r="D114" s="138" t="str">
        <f t="shared" ca="1" si="27"/>
        <v/>
      </c>
      <c r="E114" s="73" t="str">
        <f t="shared" ca="1" si="28"/>
        <v/>
      </c>
      <c r="F114" s="136" t="str">
        <f t="shared" ca="1" si="29"/>
        <v/>
      </c>
      <c r="G114" s="138" t="str">
        <f t="shared" ca="1" si="30"/>
        <v/>
      </c>
      <c r="H114" s="73" t="str">
        <f t="shared" ca="1" si="31"/>
        <v/>
      </c>
      <c r="I114" s="136" t="str">
        <f t="shared" ca="1" si="32"/>
        <v/>
      </c>
      <c r="J114" s="138" t="str">
        <f t="shared" ca="1" si="33"/>
        <v/>
      </c>
      <c r="K114" s="73" t="str">
        <f t="shared" ca="1" si="34"/>
        <v/>
      </c>
      <c r="L114" s="136" t="str">
        <f t="shared" ca="1" si="35"/>
        <v/>
      </c>
      <c r="M114" s="138" t="str">
        <f t="shared" ca="1" si="36"/>
        <v/>
      </c>
      <c r="N114" s="73" t="str">
        <f t="shared" ca="1" si="37"/>
        <v/>
      </c>
      <c r="O114" s="136" t="str">
        <f t="shared" ca="1" si="38"/>
        <v/>
      </c>
    </row>
    <row r="115" spans="1:15" ht="16.5" customHeight="1">
      <c r="A115" s="155">
        <v>18</v>
      </c>
      <c r="B115" s="155" t="str">
        <f>TEXT(투자전략!$G$1+17, "[$-ko-KR]yyyy.mm.dd")</f>
        <v>2021.05.18</v>
      </c>
      <c r="C115" s="134" t="str">
        <f t="shared" ca="1" si="26"/>
        <v/>
      </c>
      <c r="D115" s="138" t="str">
        <f t="shared" ca="1" si="27"/>
        <v/>
      </c>
      <c r="E115" s="73" t="str">
        <f t="shared" ca="1" si="28"/>
        <v/>
      </c>
      <c r="F115" s="136" t="str">
        <f t="shared" ca="1" si="29"/>
        <v/>
      </c>
      <c r="G115" s="138" t="str">
        <f t="shared" ca="1" si="30"/>
        <v/>
      </c>
      <c r="H115" s="73" t="str">
        <f t="shared" ca="1" si="31"/>
        <v/>
      </c>
      <c r="I115" s="136" t="str">
        <f t="shared" ca="1" si="32"/>
        <v/>
      </c>
      <c r="J115" s="138" t="str">
        <f t="shared" ca="1" si="33"/>
        <v/>
      </c>
      <c r="K115" s="73" t="str">
        <f t="shared" ca="1" si="34"/>
        <v/>
      </c>
      <c r="L115" s="136" t="str">
        <f t="shared" ca="1" si="35"/>
        <v/>
      </c>
      <c r="M115" s="138" t="str">
        <f t="shared" ca="1" si="36"/>
        <v/>
      </c>
      <c r="N115" s="73" t="str">
        <f t="shared" ca="1" si="37"/>
        <v/>
      </c>
      <c r="O115" s="136" t="str">
        <f t="shared" ca="1" si="38"/>
        <v/>
      </c>
    </row>
    <row r="116" spans="1:15" ht="16.5" customHeight="1">
      <c r="A116" s="155">
        <v>19</v>
      </c>
      <c r="B116" s="155" t="str">
        <f>TEXT(투자전략!$G$1+18, "[$-ko-KR]yyyy.mm.dd")</f>
        <v>2021.05.19</v>
      </c>
      <c r="C116" s="134" t="str">
        <f t="shared" ca="1" si="26"/>
        <v/>
      </c>
      <c r="D116" s="138" t="str">
        <f t="shared" ca="1" si="27"/>
        <v/>
      </c>
      <c r="E116" s="73" t="str">
        <f t="shared" ca="1" si="28"/>
        <v/>
      </c>
      <c r="F116" s="136" t="str">
        <f t="shared" ca="1" si="29"/>
        <v/>
      </c>
      <c r="G116" s="138" t="str">
        <f t="shared" ca="1" si="30"/>
        <v/>
      </c>
      <c r="H116" s="73" t="str">
        <f t="shared" ca="1" si="31"/>
        <v/>
      </c>
      <c r="I116" s="136" t="str">
        <f t="shared" ca="1" si="32"/>
        <v/>
      </c>
      <c r="J116" s="138" t="str">
        <f t="shared" ca="1" si="33"/>
        <v/>
      </c>
      <c r="K116" s="73" t="str">
        <f t="shared" ca="1" si="34"/>
        <v/>
      </c>
      <c r="L116" s="136" t="str">
        <f t="shared" ca="1" si="35"/>
        <v/>
      </c>
      <c r="M116" s="138" t="str">
        <f t="shared" ca="1" si="36"/>
        <v/>
      </c>
      <c r="N116" s="73" t="str">
        <f t="shared" ca="1" si="37"/>
        <v/>
      </c>
      <c r="O116" s="136" t="str">
        <f t="shared" ca="1" si="38"/>
        <v/>
      </c>
    </row>
    <row r="117" spans="1:15" ht="16.5" customHeight="1">
      <c r="A117" s="155">
        <v>20</v>
      </c>
      <c r="B117" s="155" t="str">
        <f>TEXT(투자전략!$G$1+19, "[$-ko-KR]yyyy.mm.dd")</f>
        <v>2021.05.20</v>
      </c>
      <c r="C117" s="134" t="str">
        <f t="shared" ca="1" si="26"/>
        <v/>
      </c>
      <c r="D117" s="138" t="str">
        <f t="shared" ca="1" si="27"/>
        <v/>
      </c>
      <c r="E117" s="73" t="str">
        <f t="shared" ca="1" si="28"/>
        <v/>
      </c>
      <c r="F117" s="136" t="str">
        <f t="shared" ca="1" si="29"/>
        <v/>
      </c>
      <c r="G117" s="138" t="str">
        <f t="shared" ca="1" si="30"/>
        <v/>
      </c>
      <c r="H117" s="73" t="str">
        <f t="shared" ca="1" si="31"/>
        <v/>
      </c>
      <c r="I117" s="136" t="str">
        <f t="shared" ca="1" si="32"/>
        <v/>
      </c>
      <c r="J117" s="138" t="str">
        <f t="shared" ca="1" si="33"/>
        <v/>
      </c>
      <c r="K117" s="73" t="str">
        <f t="shared" ca="1" si="34"/>
        <v/>
      </c>
      <c r="L117" s="136" t="str">
        <f t="shared" ca="1" si="35"/>
        <v/>
      </c>
      <c r="M117" s="138" t="str">
        <f t="shared" ca="1" si="36"/>
        <v/>
      </c>
      <c r="N117" s="73" t="str">
        <f t="shared" ca="1" si="37"/>
        <v/>
      </c>
      <c r="O117" s="136" t="str">
        <f t="shared" ca="1" si="38"/>
        <v/>
      </c>
    </row>
    <row r="118" spans="1:15" ht="16.5" customHeight="1" thickBot="1">
      <c r="A118" s="157">
        <v>21</v>
      </c>
      <c r="B118" s="157" t="str">
        <f>TEXT(투자전략!$G$1+20, "[$-ko-KR]yyyy.mm.dd")</f>
        <v>2021.05.21</v>
      </c>
      <c r="C118" s="134" t="str">
        <f t="shared" ca="1" si="26"/>
        <v/>
      </c>
      <c r="D118" s="138" t="str">
        <f t="shared" ca="1" si="27"/>
        <v/>
      </c>
      <c r="E118" s="73" t="str">
        <f t="shared" ca="1" si="28"/>
        <v/>
      </c>
      <c r="F118" s="136" t="str">
        <f t="shared" ca="1" si="29"/>
        <v/>
      </c>
      <c r="G118" s="138" t="str">
        <f t="shared" ca="1" si="30"/>
        <v/>
      </c>
      <c r="H118" s="73" t="str">
        <f t="shared" ca="1" si="31"/>
        <v/>
      </c>
      <c r="I118" s="136" t="str">
        <f t="shared" ca="1" si="32"/>
        <v/>
      </c>
      <c r="J118" s="138" t="str">
        <f t="shared" ca="1" si="33"/>
        <v/>
      </c>
      <c r="K118" s="73" t="str">
        <f t="shared" ca="1" si="34"/>
        <v/>
      </c>
      <c r="L118" s="136" t="str">
        <f t="shared" ca="1" si="35"/>
        <v/>
      </c>
      <c r="M118" s="138" t="str">
        <f t="shared" ca="1" si="36"/>
        <v/>
      </c>
      <c r="N118" s="73" t="str">
        <f t="shared" ca="1" si="37"/>
        <v/>
      </c>
      <c r="O118" s="136" t="str">
        <f t="shared" ca="1" si="38"/>
        <v/>
      </c>
    </row>
    <row r="119" spans="1:15" ht="16.5" customHeight="1">
      <c r="A119" s="156">
        <v>22</v>
      </c>
      <c r="B119" s="156" t="str">
        <f>TEXT(투자전략!$G$1+21, "[$-ko-KR]yyyy.mm.dd")</f>
        <v>2021.05.22</v>
      </c>
      <c r="C119" s="133" t="str">
        <f t="shared" ca="1" si="26"/>
        <v/>
      </c>
      <c r="D119" s="141" t="str">
        <f t="shared" ca="1" si="27"/>
        <v/>
      </c>
      <c r="E119" s="72" t="str">
        <f t="shared" ca="1" si="28"/>
        <v/>
      </c>
      <c r="F119" s="140" t="str">
        <f t="shared" ca="1" si="29"/>
        <v/>
      </c>
      <c r="G119" s="141" t="str">
        <f t="shared" ca="1" si="30"/>
        <v/>
      </c>
      <c r="H119" s="72" t="str">
        <f t="shared" ca="1" si="31"/>
        <v/>
      </c>
      <c r="I119" s="140" t="str">
        <f t="shared" ca="1" si="32"/>
        <v/>
      </c>
      <c r="J119" s="141" t="str">
        <f t="shared" ca="1" si="33"/>
        <v/>
      </c>
      <c r="K119" s="72" t="str">
        <f t="shared" ca="1" si="34"/>
        <v/>
      </c>
      <c r="L119" s="140" t="str">
        <f t="shared" ca="1" si="35"/>
        <v/>
      </c>
      <c r="M119" s="141" t="str">
        <f t="shared" ca="1" si="36"/>
        <v/>
      </c>
      <c r="N119" s="72" t="str">
        <f t="shared" ca="1" si="37"/>
        <v/>
      </c>
      <c r="O119" s="140" t="str">
        <f t="shared" ca="1" si="38"/>
        <v/>
      </c>
    </row>
    <row r="120" spans="1:15" ht="16.5" customHeight="1">
      <c r="A120" s="155">
        <v>23</v>
      </c>
      <c r="B120" s="155" t="str">
        <f>TEXT(투자전략!$G$1+22, "[$-ko-KR]yyyy.mm.dd")</f>
        <v>2021.05.23</v>
      </c>
      <c r="C120" s="134" t="str">
        <f t="shared" ca="1" si="26"/>
        <v/>
      </c>
      <c r="D120" s="138" t="str">
        <f t="shared" ca="1" si="27"/>
        <v/>
      </c>
      <c r="E120" s="73" t="str">
        <f t="shared" ca="1" si="28"/>
        <v/>
      </c>
      <c r="F120" s="136" t="str">
        <f t="shared" ca="1" si="29"/>
        <v/>
      </c>
      <c r="G120" s="138" t="str">
        <f t="shared" ca="1" si="30"/>
        <v/>
      </c>
      <c r="H120" s="73" t="str">
        <f t="shared" ca="1" si="31"/>
        <v/>
      </c>
      <c r="I120" s="136" t="str">
        <f t="shared" ca="1" si="32"/>
        <v/>
      </c>
      <c r="J120" s="138" t="str">
        <f t="shared" ca="1" si="33"/>
        <v/>
      </c>
      <c r="K120" s="73" t="str">
        <f t="shared" ca="1" si="34"/>
        <v/>
      </c>
      <c r="L120" s="136" t="str">
        <f t="shared" ca="1" si="35"/>
        <v/>
      </c>
      <c r="M120" s="138" t="str">
        <f t="shared" ca="1" si="36"/>
        <v/>
      </c>
      <c r="N120" s="73" t="str">
        <f t="shared" ca="1" si="37"/>
        <v/>
      </c>
      <c r="O120" s="136" t="str">
        <f t="shared" ca="1" si="38"/>
        <v/>
      </c>
    </row>
    <row r="121" spans="1:15" ht="16.5" customHeight="1">
      <c r="A121" s="155">
        <v>24</v>
      </c>
      <c r="B121" s="155" t="str">
        <f>TEXT(투자전략!$G$1+23, "[$-ko-KR]yyyy.mm.dd")</f>
        <v>2021.05.24</v>
      </c>
      <c r="C121" s="134" t="str">
        <f t="shared" ca="1" si="26"/>
        <v/>
      </c>
      <c r="D121" s="138" t="str">
        <f t="shared" ca="1" si="27"/>
        <v/>
      </c>
      <c r="E121" s="73" t="str">
        <f t="shared" ca="1" si="28"/>
        <v/>
      </c>
      <c r="F121" s="136" t="str">
        <f t="shared" ca="1" si="29"/>
        <v/>
      </c>
      <c r="G121" s="138" t="str">
        <f t="shared" ca="1" si="30"/>
        <v/>
      </c>
      <c r="H121" s="73" t="str">
        <f t="shared" ca="1" si="31"/>
        <v/>
      </c>
      <c r="I121" s="136" t="str">
        <f t="shared" ca="1" si="32"/>
        <v/>
      </c>
      <c r="J121" s="138" t="str">
        <f t="shared" ca="1" si="33"/>
        <v/>
      </c>
      <c r="K121" s="73" t="str">
        <f t="shared" ca="1" si="34"/>
        <v/>
      </c>
      <c r="L121" s="136" t="str">
        <f t="shared" ca="1" si="35"/>
        <v/>
      </c>
      <c r="M121" s="138" t="str">
        <f t="shared" ca="1" si="36"/>
        <v/>
      </c>
      <c r="N121" s="73" t="str">
        <f t="shared" ca="1" si="37"/>
        <v/>
      </c>
      <c r="O121" s="136" t="str">
        <f t="shared" ca="1" si="38"/>
        <v/>
      </c>
    </row>
    <row r="122" spans="1:15" ht="16.5" customHeight="1">
      <c r="A122" s="155">
        <v>25</v>
      </c>
      <c r="B122" s="155" t="str">
        <f>TEXT(투자전략!$G$1+24, "[$-ko-KR]yyyy.mm.dd")</f>
        <v>2021.05.25</v>
      </c>
      <c r="C122" s="134" t="str">
        <f t="shared" ca="1" si="26"/>
        <v/>
      </c>
      <c r="D122" s="138" t="str">
        <f t="shared" ca="1" si="27"/>
        <v/>
      </c>
      <c r="E122" s="73" t="str">
        <f t="shared" ca="1" si="28"/>
        <v/>
      </c>
      <c r="F122" s="136" t="str">
        <f t="shared" ca="1" si="29"/>
        <v/>
      </c>
      <c r="G122" s="138" t="str">
        <f t="shared" ca="1" si="30"/>
        <v/>
      </c>
      <c r="H122" s="73" t="str">
        <f t="shared" ca="1" si="31"/>
        <v/>
      </c>
      <c r="I122" s="136" t="str">
        <f t="shared" ca="1" si="32"/>
        <v/>
      </c>
      <c r="J122" s="138" t="str">
        <f t="shared" ca="1" si="33"/>
        <v/>
      </c>
      <c r="K122" s="73" t="str">
        <f t="shared" ca="1" si="34"/>
        <v/>
      </c>
      <c r="L122" s="136" t="str">
        <f t="shared" ca="1" si="35"/>
        <v/>
      </c>
      <c r="M122" s="138" t="str">
        <f t="shared" ca="1" si="36"/>
        <v/>
      </c>
      <c r="N122" s="73" t="str">
        <f t="shared" ca="1" si="37"/>
        <v/>
      </c>
      <c r="O122" s="136" t="str">
        <f t="shared" ca="1" si="38"/>
        <v/>
      </c>
    </row>
    <row r="123" spans="1:15" ht="16.5" customHeight="1">
      <c r="A123" s="155">
        <v>26</v>
      </c>
      <c r="B123" s="155" t="str">
        <f>TEXT(투자전략!$G$1+25, "[$-ko-KR]yyyy.mm.dd")</f>
        <v>2021.05.26</v>
      </c>
      <c r="C123" s="134" t="str">
        <f t="shared" ca="1" si="26"/>
        <v/>
      </c>
      <c r="D123" s="138" t="str">
        <f t="shared" ca="1" si="27"/>
        <v/>
      </c>
      <c r="E123" s="73" t="str">
        <f t="shared" ca="1" si="28"/>
        <v/>
      </c>
      <c r="F123" s="136" t="str">
        <f t="shared" ca="1" si="29"/>
        <v/>
      </c>
      <c r="G123" s="138" t="str">
        <f t="shared" ca="1" si="30"/>
        <v/>
      </c>
      <c r="H123" s="73" t="str">
        <f t="shared" ca="1" si="31"/>
        <v/>
      </c>
      <c r="I123" s="136" t="str">
        <f t="shared" ca="1" si="32"/>
        <v/>
      </c>
      <c r="J123" s="138" t="str">
        <f t="shared" ca="1" si="33"/>
        <v/>
      </c>
      <c r="K123" s="73" t="str">
        <f t="shared" ca="1" si="34"/>
        <v/>
      </c>
      <c r="L123" s="136" t="str">
        <f t="shared" ca="1" si="35"/>
        <v/>
      </c>
      <c r="M123" s="138" t="str">
        <f t="shared" ca="1" si="36"/>
        <v/>
      </c>
      <c r="N123" s="73" t="str">
        <f t="shared" ca="1" si="37"/>
        <v/>
      </c>
      <c r="O123" s="136" t="str">
        <f t="shared" ca="1" si="38"/>
        <v/>
      </c>
    </row>
    <row r="124" spans="1:15" ht="16.5" customHeight="1">
      <c r="A124" s="155">
        <v>27</v>
      </c>
      <c r="B124" s="155" t="str">
        <f>TEXT(투자전략!$G$1+26, "[$-ko-KR]yyyy.mm.dd")</f>
        <v>2021.05.27</v>
      </c>
      <c r="C124" s="134" t="str">
        <f t="shared" ca="1" si="26"/>
        <v/>
      </c>
      <c r="D124" s="138" t="str">
        <f t="shared" ca="1" si="27"/>
        <v/>
      </c>
      <c r="E124" s="73" t="str">
        <f t="shared" ca="1" si="28"/>
        <v/>
      </c>
      <c r="F124" s="136" t="str">
        <f t="shared" ca="1" si="29"/>
        <v/>
      </c>
      <c r="G124" s="138" t="str">
        <f t="shared" ca="1" si="30"/>
        <v/>
      </c>
      <c r="H124" s="73" t="str">
        <f t="shared" ca="1" si="31"/>
        <v/>
      </c>
      <c r="I124" s="136" t="str">
        <f t="shared" ca="1" si="32"/>
        <v/>
      </c>
      <c r="J124" s="138" t="str">
        <f t="shared" ca="1" si="33"/>
        <v/>
      </c>
      <c r="K124" s="73" t="str">
        <f t="shared" ca="1" si="34"/>
        <v/>
      </c>
      <c r="L124" s="136" t="str">
        <f t="shared" ca="1" si="35"/>
        <v/>
      </c>
      <c r="M124" s="138" t="str">
        <f t="shared" ca="1" si="36"/>
        <v/>
      </c>
      <c r="N124" s="73" t="str">
        <f t="shared" ca="1" si="37"/>
        <v/>
      </c>
      <c r="O124" s="136" t="str">
        <f t="shared" ca="1" si="38"/>
        <v/>
      </c>
    </row>
    <row r="125" spans="1:15" ht="16.5" customHeight="1" thickBot="1">
      <c r="A125" s="157">
        <v>28</v>
      </c>
      <c r="B125" s="157" t="str">
        <f>TEXT(투자전략!$G$1+27, "[$-ko-KR]yyyy.mm.dd")</f>
        <v>2021.05.28</v>
      </c>
      <c r="C125" s="135" t="str">
        <f t="shared" ca="1" si="26"/>
        <v/>
      </c>
      <c r="D125" s="139" t="str">
        <f t="shared" ca="1" si="27"/>
        <v/>
      </c>
      <c r="E125" s="75" t="str">
        <f t="shared" ca="1" si="28"/>
        <v/>
      </c>
      <c r="F125" s="137" t="str">
        <f t="shared" ca="1" si="29"/>
        <v/>
      </c>
      <c r="G125" s="139" t="str">
        <f t="shared" ca="1" si="30"/>
        <v/>
      </c>
      <c r="H125" s="75" t="str">
        <f t="shared" ca="1" si="31"/>
        <v/>
      </c>
      <c r="I125" s="137" t="str">
        <f t="shared" ca="1" si="32"/>
        <v/>
      </c>
      <c r="J125" s="139" t="str">
        <f t="shared" ca="1" si="33"/>
        <v/>
      </c>
      <c r="K125" s="75" t="str">
        <f t="shared" ca="1" si="34"/>
        <v/>
      </c>
      <c r="L125" s="137" t="str">
        <f t="shared" ca="1" si="35"/>
        <v/>
      </c>
      <c r="M125" s="139" t="str">
        <f t="shared" ca="1" si="36"/>
        <v/>
      </c>
      <c r="N125" s="75" t="str">
        <f t="shared" ca="1" si="37"/>
        <v/>
      </c>
      <c r="O125" s="137" t="str">
        <f t="shared" ca="1" si="38"/>
        <v/>
      </c>
    </row>
    <row r="126" spans="1:15" ht="16.5" customHeight="1">
      <c r="A126" s="120">
        <v>29</v>
      </c>
      <c r="B126" s="156" t="str">
        <f>TEXT(투자전략!$G$1+28, "[$-ko-KR]yyyy.mm.dd")</f>
        <v>2021.05.29</v>
      </c>
      <c r="C126" s="134" t="str">
        <f t="shared" ca="1" si="26"/>
        <v/>
      </c>
      <c r="D126" s="138" t="str">
        <f t="shared" ca="1" si="27"/>
        <v/>
      </c>
      <c r="E126" s="73" t="str">
        <f t="shared" ca="1" si="28"/>
        <v/>
      </c>
      <c r="F126" s="136" t="str">
        <f t="shared" ca="1" si="29"/>
        <v/>
      </c>
      <c r="G126" s="138" t="str">
        <f t="shared" ca="1" si="30"/>
        <v/>
      </c>
      <c r="H126" s="73" t="str">
        <f t="shared" ca="1" si="31"/>
        <v/>
      </c>
      <c r="I126" s="136" t="str">
        <f t="shared" ca="1" si="32"/>
        <v/>
      </c>
      <c r="J126" s="138" t="str">
        <f t="shared" ca="1" si="33"/>
        <v/>
      </c>
      <c r="K126" s="73" t="str">
        <f t="shared" ca="1" si="34"/>
        <v/>
      </c>
      <c r="L126" s="136" t="str">
        <f t="shared" ca="1" si="35"/>
        <v/>
      </c>
      <c r="M126" s="138" t="str">
        <f t="shared" ca="1" si="36"/>
        <v/>
      </c>
      <c r="N126" s="73" t="str">
        <f t="shared" ca="1" si="37"/>
        <v/>
      </c>
      <c r="O126" s="136" t="str">
        <f t="shared" ca="1" si="38"/>
        <v/>
      </c>
    </row>
    <row r="127" spans="1:15" ht="16.5" customHeight="1">
      <c r="A127" s="120">
        <v>30</v>
      </c>
      <c r="B127" s="155" t="str">
        <f>TEXT(투자전략!$G$1+29, "[$-ko-KR]yyyy.mm.dd")</f>
        <v>2021.05.30</v>
      </c>
      <c r="C127" s="134" t="str">
        <f t="shared" ca="1" si="26"/>
        <v/>
      </c>
      <c r="D127" s="138" t="str">
        <f t="shared" ca="1" si="27"/>
        <v/>
      </c>
      <c r="E127" s="73" t="str">
        <f t="shared" ca="1" si="28"/>
        <v/>
      </c>
      <c r="F127" s="136" t="str">
        <f t="shared" ca="1" si="29"/>
        <v/>
      </c>
      <c r="G127" s="138" t="str">
        <f t="shared" ca="1" si="30"/>
        <v/>
      </c>
      <c r="H127" s="73" t="str">
        <f t="shared" ca="1" si="31"/>
        <v/>
      </c>
      <c r="I127" s="136" t="str">
        <f t="shared" ca="1" si="32"/>
        <v/>
      </c>
      <c r="J127" s="138" t="str">
        <f t="shared" ca="1" si="33"/>
        <v/>
      </c>
      <c r="K127" s="73" t="str">
        <f t="shared" ca="1" si="34"/>
        <v/>
      </c>
      <c r="L127" s="136" t="str">
        <f t="shared" ca="1" si="35"/>
        <v/>
      </c>
      <c r="M127" s="138" t="str">
        <f t="shared" ca="1" si="36"/>
        <v/>
      </c>
      <c r="N127" s="73" t="str">
        <f t="shared" ca="1" si="37"/>
        <v/>
      </c>
      <c r="O127" s="136" t="str">
        <f t="shared" ca="1" si="38"/>
        <v/>
      </c>
    </row>
    <row r="128" spans="1:15" ht="16.5" customHeight="1" thickBot="1">
      <c r="A128" s="120">
        <v>31</v>
      </c>
      <c r="B128" s="155" t="str">
        <f>TEXT(투자전략!$G$1+30, "[$-ko-KR]yyyy.mm.dd")</f>
        <v>2021.05.31</v>
      </c>
      <c r="C128" s="135" t="str">
        <f t="shared" ca="1" si="26"/>
        <v/>
      </c>
      <c r="D128" s="139" t="str">
        <f t="shared" ca="1" si="27"/>
        <v/>
      </c>
      <c r="E128" s="75" t="str">
        <f t="shared" ca="1" si="28"/>
        <v/>
      </c>
      <c r="F128" s="137" t="str">
        <f t="shared" ca="1" si="29"/>
        <v/>
      </c>
      <c r="G128" s="139" t="str">
        <f t="shared" ca="1" si="30"/>
        <v/>
      </c>
      <c r="H128" s="75" t="str">
        <f t="shared" ca="1" si="31"/>
        <v/>
      </c>
      <c r="I128" s="137" t="str">
        <f t="shared" ca="1" si="32"/>
        <v/>
      </c>
      <c r="J128" s="139" t="str">
        <f t="shared" ca="1" si="33"/>
        <v/>
      </c>
      <c r="K128" s="75" t="str">
        <f t="shared" ca="1" si="34"/>
        <v/>
      </c>
      <c r="L128" s="137" t="str">
        <f t="shared" ca="1" si="35"/>
        <v/>
      </c>
      <c r="M128" s="139" t="str">
        <f t="shared" ca="1" si="36"/>
        <v/>
      </c>
      <c r="N128" s="75" t="str">
        <f t="shared" ca="1" si="37"/>
        <v/>
      </c>
      <c r="O128" s="137" t="str">
        <f t="shared" ca="1" si="38"/>
        <v/>
      </c>
    </row>
    <row r="129" spans="1:15" ht="16.5" customHeight="1" thickBot="1">
      <c r="A129" s="258" t="s">
        <v>319</v>
      </c>
      <c r="B129" s="260"/>
      <c r="C129" s="131" t="s">
        <v>314</v>
      </c>
      <c r="D129" s="149" t="s">
        <v>315</v>
      </c>
      <c r="E129" s="150" t="s">
        <v>316</v>
      </c>
      <c r="F129" s="151" t="s">
        <v>317</v>
      </c>
      <c r="G129" s="149" t="s">
        <v>315</v>
      </c>
      <c r="H129" s="150" t="s">
        <v>316</v>
      </c>
      <c r="I129" s="151" t="s">
        <v>317</v>
      </c>
      <c r="J129" s="149" t="s">
        <v>315</v>
      </c>
      <c r="K129" s="150" t="s">
        <v>316</v>
      </c>
      <c r="L129" s="151" t="s">
        <v>317</v>
      </c>
      <c r="M129" s="149" t="s">
        <v>315</v>
      </c>
      <c r="N129" s="150" t="s">
        <v>316</v>
      </c>
      <c r="O129" s="151" t="s">
        <v>317</v>
      </c>
    </row>
    <row r="130" spans="1:15" ht="16.5" customHeight="1" thickBot="1">
      <c r="A130" s="264"/>
      <c r="B130" s="266"/>
      <c r="C130" s="135">
        <f ca="1">SUM(C98:C128)</f>
        <v>60000000</v>
      </c>
      <c r="D130" s="139">
        <f ca="1">SUM(D98:D128)</f>
        <v>59876855.802914046</v>
      </c>
      <c r="E130" s="75">
        <f ca="1">IFERROR(F130 / (SUM($C98:$C128) / COUNT($C98:$C128)), 0)</f>
        <v>-3.2838452556252139E-2</v>
      </c>
      <c r="F130" s="137">
        <f ca="1">SUM(F98:F128)</f>
        <v>-123144.19708594552</v>
      </c>
      <c r="G130" s="139">
        <f ca="1">SUM(G98:G128)</f>
        <v>60060055.455120258</v>
      </c>
      <c r="H130" s="75">
        <f ca="1">IFERROR(I130 / (SUM($C98:$C128) / COUNT($C98:$C128)), 0)</f>
        <v>1.6014788032067503E-2</v>
      </c>
      <c r="I130" s="137">
        <f ca="1">SUM(I98:I128)</f>
        <v>60055.455120253144</v>
      </c>
      <c r="J130" s="139">
        <f ca="1">SUM(J98:J128)</f>
        <v>60328681.288580172</v>
      </c>
      <c r="K130" s="75">
        <f ca="1">IFERROR(L130 / (SUM($C98:$C128) / COUNT($C98:$C128)), 0)</f>
        <v>8.7648343621375926E-2</v>
      </c>
      <c r="L130" s="137">
        <f ca="1">SUM(L98:L128)</f>
        <v>328681.28858015971</v>
      </c>
      <c r="M130" s="139">
        <f ca="1">SUM(M98:M128)</f>
        <v>59955317.269320592</v>
      </c>
      <c r="N130" s="75">
        <f ca="1">IFERROR(O130 / (SUM($C98:$C128) / COUNT($C98:$C128)), 0)</f>
        <v>-1.1915394847844173E-2</v>
      </c>
      <c r="O130" s="137">
        <f ca="1">SUM(O98:O128)</f>
        <v>-44682.730679415647</v>
      </c>
    </row>
    <row r="132" spans="1:15" ht="16.5" customHeight="1" thickBot="1"/>
    <row r="133" spans="1:15" ht="16.5" customHeight="1" thickBot="1">
      <c r="A133" s="249" t="str">
        <f>TEXT(투자전략!$G$1, "[$-ko-KR]yyyy년 mm월 ") &amp; "전일대비 상승률 Top20 월말결산"</f>
        <v>2021년 05월 전일대비 상승률 Top20 월말결산</v>
      </c>
      <c r="B133" s="250"/>
      <c r="C133" s="250"/>
      <c r="D133" s="250"/>
      <c r="E133" s="250"/>
      <c r="F133" s="250"/>
      <c r="G133" s="250"/>
      <c r="H133" s="250"/>
      <c r="I133" s="250"/>
      <c r="J133" s="250"/>
      <c r="K133" s="250"/>
      <c r="L133" s="250"/>
      <c r="M133" s="250"/>
      <c r="N133" s="250"/>
      <c r="O133" s="251"/>
    </row>
    <row r="134" spans="1:15" ht="16.5" customHeight="1" thickBot="1">
      <c r="A134" s="310" t="s">
        <v>320</v>
      </c>
      <c r="B134" s="264" t="s">
        <v>318</v>
      </c>
      <c r="C134" s="266"/>
      <c r="D134" s="264" t="s">
        <v>310</v>
      </c>
      <c r="E134" s="265"/>
      <c r="F134" s="266"/>
      <c r="G134" s="264" t="s">
        <v>311</v>
      </c>
      <c r="H134" s="265"/>
      <c r="I134" s="266"/>
      <c r="J134" s="264" t="s">
        <v>312</v>
      </c>
      <c r="K134" s="265"/>
      <c r="L134" s="266"/>
      <c r="M134" s="264" t="s">
        <v>313</v>
      </c>
      <c r="N134" s="265"/>
      <c r="O134" s="266"/>
    </row>
    <row r="135" spans="1:15" ht="16.5" customHeight="1" thickBot="1">
      <c r="A135" s="314"/>
      <c r="B135" s="156" t="s">
        <v>308</v>
      </c>
      <c r="C135" s="156" t="s">
        <v>42</v>
      </c>
      <c r="D135" s="120" t="s">
        <v>309</v>
      </c>
      <c r="E135" s="132" t="s">
        <v>40</v>
      </c>
      <c r="F135" s="158" t="s">
        <v>41</v>
      </c>
      <c r="G135" s="120" t="s">
        <v>309</v>
      </c>
      <c r="H135" s="132" t="s">
        <v>40</v>
      </c>
      <c r="I135" s="158" t="s">
        <v>41</v>
      </c>
      <c r="J135" s="120" t="s">
        <v>309</v>
      </c>
      <c r="K135" s="132" t="s">
        <v>40</v>
      </c>
      <c r="L135" s="158" t="s">
        <v>41</v>
      </c>
      <c r="M135" s="120" t="s">
        <v>309</v>
      </c>
      <c r="N135" s="132" t="s">
        <v>40</v>
      </c>
      <c r="O135" s="158" t="s">
        <v>41</v>
      </c>
    </row>
    <row r="136" spans="1:15" ht="16.5" customHeight="1">
      <c r="A136" s="156">
        <v>1</v>
      </c>
      <c r="B136" s="156" t="str">
        <f>TEXT(투자전략!$G$1+0, "[$-ko-KR]yyyy.mm.dd")</f>
        <v>2021.05.01</v>
      </c>
      <c r="C136" s="133">
        <f ca="1">IFERROR(COUNTA(INDIRECT($B136&amp;"!A98:A117")) * INDIRECT($B136&amp;"!B118"), "")</f>
        <v>6000000</v>
      </c>
      <c r="D136" s="141">
        <f ca="1">IFERROR($C136 * (1 + E136), "")</f>
        <v>6107685.9856206654</v>
      </c>
      <c r="E136" s="72">
        <f ca="1">IFERROR(INDIRECT($B136&amp;"!E118"), "")</f>
        <v>1.7947664270110929E-2</v>
      </c>
      <c r="F136" s="140">
        <f ca="1">IFERROR(INDIRECT($B136&amp;"!F118"), "")</f>
        <v>107685.98562066558</v>
      </c>
      <c r="G136" s="141">
        <f ca="1">IFERROR($C136 * (1 + H136), "")</f>
        <v>6041745.7119217347</v>
      </c>
      <c r="H136" s="72">
        <f ca="1">IFERROR(INDIRECT($B136&amp;"!H118"), "")</f>
        <v>6.9576186536225324E-3</v>
      </c>
      <c r="I136" s="140">
        <f ca="1">IFERROR(INDIRECT($B136&amp;"!I118"), "")</f>
        <v>41745.711921735201</v>
      </c>
      <c r="J136" s="141">
        <f ca="1">IFERROR($C136 * (1 + K136), "")</f>
        <v>6120466.3950530048</v>
      </c>
      <c r="K136" s="72">
        <f ca="1">IFERROR(INDIRECT($B136&amp;"!K118"), "")</f>
        <v>2.0077732508834219E-2</v>
      </c>
      <c r="L136" s="140">
        <f ca="1">IFERROR(INDIRECT($B136&amp;"!L118"), "")</f>
        <v>120466.39505300528</v>
      </c>
      <c r="M136" s="141">
        <f ca="1">IFERROR($C136 * (1 + N136), "")</f>
        <v>6067393.3339623362</v>
      </c>
      <c r="N136" s="72">
        <f ca="1">IFERROR(INDIRECT($B136&amp;"!N118"), "")</f>
        <v>1.1232222327055948E-2</v>
      </c>
      <c r="O136" s="140">
        <f ca="1">IFERROR(INDIRECT($B136&amp;"!O118"), "")</f>
        <v>67393.333962335702</v>
      </c>
    </row>
    <row r="137" spans="1:15" ht="16.5" customHeight="1">
      <c r="A137" s="155">
        <v>2</v>
      </c>
      <c r="B137" s="155" t="str">
        <f>TEXT(투자전략!$G$1+1, "[$-ko-KR]yyyy.mm.dd")</f>
        <v>2021.05.02</v>
      </c>
      <c r="C137" s="134">
        <f t="shared" ref="C137:C166" ca="1" si="39">IFERROR(COUNTA(INDIRECT($B137&amp;"!A98:A117")) * INDIRECT($B137&amp;"!B118"), "")</f>
        <v>6000000</v>
      </c>
      <c r="D137" s="138">
        <f t="shared" ref="D137:D166" ca="1" si="40">IFERROR($C137 * (1 + E137), "")</f>
        <v>6011917.9977196138</v>
      </c>
      <c r="E137" s="73">
        <f t="shared" ref="E137:E166" ca="1" si="41">IFERROR(INDIRECT($B137&amp;"!E118"), "")</f>
        <v>1.9863329532690366E-3</v>
      </c>
      <c r="F137" s="136">
        <f t="shared" ref="F137:F166" ca="1" si="42">IFERROR(INDIRECT($B137&amp;"!F118"), "")</f>
        <v>11917.997719614215</v>
      </c>
      <c r="G137" s="138">
        <f t="shared" ref="G137:G166" ca="1" si="43">IFERROR($C137 * (1 + H137), "")</f>
        <v>6019023.1076206733</v>
      </c>
      <c r="H137" s="73">
        <f t="shared" ref="H137:H166" ca="1" si="44">IFERROR(INDIRECT($B137&amp;"!H118"), "")</f>
        <v>3.1705179367788605E-3</v>
      </c>
      <c r="I137" s="136">
        <f t="shared" ref="I137:I166" ca="1" si="45">IFERROR(INDIRECT($B137&amp;"!I118"), "")</f>
        <v>19023.107620673156</v>
      </c>
      <c r="J137" s="138">
        <f t="shared" ref="J137:J166" ca="1" si="46">IFERROR($C137 * (1 + K137), "")</f>
        <v>6044019.6087034903</v>
      </c>
      <c r="K137" s="73">
        <f t="shared" ref="K137:K166" ca="1" si="47">IFERROR(INDIRECT($B137&amp;"!K118"), "")</f>
        <v>7.3366014505818408E-3</v>
      </c>
      <c r="L137" s="136">
        <f t="shared" ref="L137:L166" ca="1" si="48">IFERROR(INDIRECT($B137&amp;"!L118"), "")</f>
        <v>44019.60870349106</v>
      </c>
      <c r="M137" s="138">
        <f t="shared" ref="M137:M166" ca="1" si="49">IFERROR($C137 * (1 + N137), "")</f>
        <v>6076007.4882986527</v>
      </c>
      <c r="N137" s="73">
        <f t="shared" ref="N137:N166" ca="1" si="50">IFERROR(INDIRECT($B137&amp;"!N118"), "")</f>
        <v>1.2667914716442175E-2</v>
      </c>
      <c r="O137" s="136">
        <f t="shared" ref="O137:O166" ca="1" si="51">IFERROR(INDIRECT($B137&amp;"!O118"), "")</f>
        <v>76007.488298653043</v>
      </c>
    </row>
    <row r="138" spans="1:15" ht="16.5" customHeight="1">
      <c r="A138" s="155">
        <v>3</v>
      </c>
      <c r="B138" s="155" t="str">
        <f>TEXT(투자전략!$G$1+2, "[$-ko-KR]yyyy.mm.dd")</f>
        <v>2021.05.03</v>
      </c>
      <c r="C138" s="134">
        <f t="shared" ca="1" si="39"/>
        <v>6000000</v>
      </c>
      <c r="D138" s="138">
        <f t="shared" ca="1" si="40"/>
        <v>6136832.6590279434</v>
      </c>
      <c r="E138" s="73">
        <f t="shared" ca="1" si="41"/>
        <v>2.2805443171323846E-2</v>
      </c>
      <c r="F138" s="136">
        <f t="shared" ca="1" si="42"/>
        <v>136832.65902794307</v>
      </c>
      <c r="G138" s="138">
        <f t="shared" ca="1" si="43"/>
        <v>6334655.8773899311</v>
      </c>
      <c r="H138" s="73">
        <f t="shared" ca="1" si="44"/>
        <v>5.577597956498849E-2</v>
      </c>
      <c r="I138" s="136">
        <f t="shared" ca="1" si="45"/>
        <v>334655.87738993095</v>
      </c>
      <c r="J138" s="138">
        <f t="shared" ca="1" si="46"/>
        <v>6367425.1025107373</v>
      </c>
      <c r="K138" s="73">
        <f t="shared" ca="1" si="47"/>
        <v>6.1237517085122928E-2</v>
      </c>
      <c r="L138" s="136">
        <f t="shared" ca="1" si="48"/>
        <v>367425.10251073749</v>
      </c>
      <c r="M138" s="138">
        <f t="shared" ca="1" si="49"/>
        <v>6270159.0766257513</v>
      </c>
      <c r="N138" s="73">
        <f t="shared" ca="1" si="50"/>
        <v>4.5026512770958503E-2</v>
      </c>
      <c r="O138" s="136">
        <f t="shared" ca="1" si="51"/>
        <v>270159.07662575098</v>
      </c>
    </row>
    <row r="139" spans="1:15" ht="16.5" customHeight="1">
      <c r="A139" s="155">
        <v>4</v>
      </c>
      <c r="B139" s="155" t="str">
        <f>TEXT(투자전략!$G$1+3, "[$-ko-KR]yyyy.mm.dd")</f>
        <v>2021.05.04</v>
      </c>
      <c r="C139" s="134">
        <f t="shared" ca="1" si="39"/>
        <v>6000000</v>
      </c>
      <c r="D139" s="138">
        <f t="shared" ca="1" si="40"/>
        <v>6206369.8758833455</v>
      </c>
      <c r="E139" s="73">
        <f t="shared" ca="1" si="41"/>
        <v>3.4394979313890843E-2</v>
      </c>
      <c r="F139" s="136">
        <f t="shared" ca="1" si="42"/>
        <v>206369.87588334508</v>
      </c>
      <c r="G139" s="138">
        <f t="shared" ca="1" si="43"/>
        <v>6214257.5310626356</v>
      </c>
      <c r="H139" s="73">
        <f t="shared" ca="1" si="44"/>
        <v>3.5709588510439344E-2</v>
      </c>
      <c r="I139" s="136">
        <f t="shared" ca="1" si="45"/>
        <v>214257.53106263612</v>
      </c>
      <c r="J139" s="138">
        <f t="shared" ca="1" si="46"/>
        <v>6259758.5882178135</v>
      </c>
      <c r="K139" s="73">
        <f t="shared" ca="1" si="47"/>
        <v>4.3293098036302172E-2</v>
      </c>
      <c r="L139" s="136">
        <f t="shared" ca="1" si="48"/>
        <v>259758.58821781303</v>
      </c>
      <c r="M139" s="138">
        <f t="shared" ca="1" si="49"/>
        <v>6057219.917349726</v>
      </c>
      <c r="N139" s="73">
        <f t="shared" ca="1" si="50"/>
        <v>9.5366528916209243E-3</v>
      </c>
      <c r="O139" s="136">
        <f t="shared" ca="1" si="51"/>
        <v>57219.917349725554</v>
      </c>
    </row>
    <row r="140" spans="1:15" ht="16.5" customHeight="1">
      <c r="A140" s="155">
        <v>5</v>
      </c>
      <c r="B140" s="155" t="str">
        <f>TEXT(투자전략!$G$1+4, "[$-ko-KR]yyyy.mm.dd")</f>
        <v>2021.05.05</v>
      </c>
      <c r="C140" s="134">
        <f t="shared" ca="1" si="39"/>
        <v>3000000</v>
      </c>
      <c r="D140" s="138">
        <f t="shared" ca="1" si="40"/>
        <v>3129708.5284158271</v>
      </c>
      <c r="E140" s="73">
        <f t="shared" ca="1" si="41"/>
        <v>4.3236176138609084E-2</v>
      </c>
      <c r="F140" s="136">
        <f t="shared" ca="1" si="42"/>
        <v>129708.52841582726</v>
      </c>
      <c r="G140" s="138">
        <f t="shared" ca="1" si="43"/>
        <v>3104189.9793890109</v>
      </c>
      <c r="H140" s="73">
        <f t="shared" ca="1" si="44"/>
        <v>3.4729993129670386E-2</v>
      </c>
      <c r="I140" s="136">
        <f t="shared" ca="1" si="45"/>
        <v>104189.97938901116</v>
      </c>
      <c r="J140" s="138">
        <f t="shared" ca="1" si="46"/>
        <v>3121031.4371483638</v>
      </c>
      <c r="K140" s="73">
        <f t="shared" ca="1" si="47"/>
        <v>4.0343812382787843E-2</v>
      </c>
      <c r="L140" s="136">
        <f t="shared" ca="1" si="48"/>
        <v>121031.43714836352</v>
      </c>
      <c r="M140" s="138">
        <f t="shared" ca="1" si="49"/>
        <v>3155510.8417207999</v>
      </c>
      <c r="N140" s="73">
        <f t="shared" ca="1" si="50"/>
        <v>5.1836947240266676E-2</v>
      </c>
      <c r="O140" s="136">
        <f t="shared" ca="1" si="51"/>
        <v>155510.84172079997</v>
      </c>
    </row>
    <row r="141" spans="1:15" ht="16.5" customHeight="1">
      <c r="A141" s="155">
        <v>6</v>
      </c>
      <c r="B141" s="155" t="str">
        <f>TEXT(투자전략!$G$1+5, "[$-ko-KR]yyyy.mm.dd")</f>
        <v>2021.05.06</v>
      </c>
      <c r="C141" s="134">
        <f t="shared" ca="1" si="39"/>
        <v>3000000</v>
      </c>
      <c r="D141" s="138">
        <f t="shared" ca="1" si="40"/>
        <v>3254274.7379167019</v>
      </c>
      <c r="E141" s="73">
        <f t="shared" ca="1" si="41"/>
        <v>8.4758245972233914E-2</v>
      </c>
      <c r="F141" s="136">
        <f t="shared" ca="1" si="42"/>
        <v>254274.73791670171</v>
      </c>
      <c r="G141" s="138">
        <f t="shared" ca="1" si="43"/>
        <v>3224069.4838745319</v>
      </c>
      <c r="H141" s="73">
        <f t="shared" ca="1" si="44"/>
        <v>7.4689827958177288E-2</v>
      </c>
      <c r="I141" s="136">
        <f t="shared" ca="1" si="45"/>
        <v>224069.48387453187</v>
      </c>
      <c r="J141" s="138">
        <f t="shared" ca="1" si="46"/>
        <v>3295827.6850731974</v>
      </c>
      <c r="K141" s="73">
        <f t="shared" ca="1" si="47"/>
        <v>9.8609228357732406E-2</v>
      </c>
      <c r="L141" s="136">
        <f t="shared" ca="1" si="48"/>
        <v>295827.68507319718</v>
      </c>
      <c r="M141" s="138">
        <f t="shared" ca="1" si="49"/>
        <v>3348323.467334698</v>
      </c>
      <c r="N141" s="73">
        <f t="shared" ca="1" si="50"/>
        <v>0.11610782244489937</v>
      </c>
      <c r="O141" s="136">
        <f t="shared" ca="1" si="51"/>
        <v>348323.46733469807</v>
      </c>
    </row>
    <row r="142" spans="1:15" ht="16.5" customHeight="1" thickBot="1">
      <c r="A142" s="157">
        <v>7</v>
      </c>
      <c r="B142" s="157" t="str">
        <f>TEXT(투자전략!$G$1+6, "[$-ko-KR]yyyy.mm.dd")</f>
        <v>2021.05.07</v>
      </c>
      <c r="C142" s="134">
        <f t="shared" ca="1" si="39"/>
        <v>3000000</v>
      </c>
      <c r="D142" s="138">
        <f t="shared" ca="1" si="40"/>
        <v>3139394.5491867843</v>
      </c>
      <c r="E142" s="73">
        <f t="shared" ca="1" si="41"/>
        <v>4.6464849728928163E-2</v>
      </c>
      <c r="F142" s="136">
        <f t="shared" ca="1" si="42"/>
        <v>139394.54918678451</v>
      </c>
      <c r="G142" s="138">
        <f t="shared" ca="1" si="43"/>
        <v>3249695.91004832</v>
      </c>
      <c r="H142" s="73">
        <f t="shared" ca="1" si="44"/>
        <v>8.3231970016106507E-2</v>
      </c>
      <c r="I142" s="136">
        <f t="shared" ca="1" si="45"/>
        <v>249695.91004831955</v>
      </c>
      <c r="J142" s="138">
        <f t="shared" ca="1" si="46"/>
        <v>3304484.0968257068</v>
      </c>
      <c r="K142" s="73">
        <f t="shared" ca="1" si="47"/>
        <v>0.10149469894190226</v>
      </c>
      <c r="L142" s="136">
        <f t="shared" ca="1" si="48"/>
        <v>304484.09682570671</v>
      </c>
      <c r="M142" s="138">
        <f t="shared" ca="1" si="49"/>
        <v>3291654.044557563</v>
      </c>
      <c r="N142" s="73">
        <f t="shared" ca="1" si="50"/>
        <v>9.7218014852521087E-2</v>
      </c>
      <c r="O142" s="136">
        <f t="shared" ca="1" si="51"/>
        <v>291654.0445575632</v>
      </c>
    </row>
    <row r="143" spans="1:15" ht="16.5" customHeight="1">
      <c r="A143" s="156">
        <v>8</v>
      </c>
      <c r="B143" s="156" t="str">
        <f>TEXT(투자전략!$G$1+7, "[$-ko-KR]yyyy.mm.dd")</f>
        <v>2021.05.08</v>
      </c>
      <c r="C143" s="133">
        <f t="shared" ca="1" si="39"/>
        <v>3000000</v>
      </c>
      <c r="D143" s="141">
        <f t="shared" ca="1" si="40"/>
        <v>2757888.4696549042</v>
      </c>
      <c r="E143" s="72">
        <f t="shared" ca="1" si="41"/>
        <v>-8.0703843448365217E-2</v>
      </c>
      <c r="F143" s="140">
        <f t="shared" ca="1" si="42"/>
        <v>-242111.53034509567</v>
      </c>
      <c r="G143" s="141">
        <f t="shared" ca="1" si="43"/>
        <v>2865418.5914868745</v>
      </c>
      <c r="H143" s="72">
        <f t="shared" ca="1" si="44"/>
        <v>-4.4860469504375153E-2</v>
      </c>
      <c r="I143" s="140">
        <f t="shared" ca="1" si="45"/>
        <v>-134581.40851312547</v>
      </c>
      <c r="J143" s="141">
        <f t="shared" ca="1" si="46"/>
        <v>2860424.3201779574</v>
      </c>
      <c r="K143" s="72">
        <f t="shared" ca="1" si="47"/>
        <v>-4.6525226607347502E-2</v>
      </c>
      <c r="L143" s="140">
        <f t="shared" ca="1" si="48"/>
        <v>-139575.67982204256</v>
      </c>
      <c r="M143" s="141">
        <f t="shared" ca="1" si="49"/>
        <v>2848645.2368146144</v>
      </c>
      <c r="N143" s="72">
        <f t="shared" ca="1" si="50"/>
        <v>-5.045158772846179E-2</v>
      </c>
      <c r="O143" s="140">
        <f t="shared" ca="1" si="51"/>
        <v>-151354.76318538532</v>
      </c>
    </row>
    <row r="144" spans="1:15" ht="16.5" customHeight="1">
      <c r="A144" s="155">
        <v>9</v>
      </c>
      <c r="B144" s="155" t="str">
        <f>TEXT(투자전략!$G$1+8, "[$-ko-KR]yyyy.mm.dd")</f>
        <v>2021.05.09</v>
      </c>
      <c r="C144" s="134">
        <f t="shared" ca="1" si="39"/>
        <v>3000000</v>
      </c>
      <c r="D144" s="138">
        <f t="shared" ca="1" si="40"/>
        <v>2918931.3777806736</v>
      </c>
      <c r="E144" s="73">
        <f t="shared" ca="1" si="41"/>
        <v>-2.7022874073108889E-2</v>
      </c>
      <c r="F144" s="136">
        <f t="shared" ca="1" si="42"/>
        <v>-81068.622219326688</v>
      </c>
      <c r="G144" s="138">
        <f t="shared" ca="1" si="43"/>
        <v>2884068.8371927086</v>
      </c>
      <c r="H144" s="73">
        <f t="shared" ca="1" si="44"/>
        <v>-3.8643720935763876E-2</v>
      </c>
      <c r="I144" s="136">
        <f t="shared" ca="1" si="45"/>
        <v>-115931.16280729162</v>
      </c>
      <c r="J144" s="138">
        <f t="shared" ca="1" si="46"/>
        <v>2845447.2451883759</v>
      </c>
      <c r="K144" s="73">
        <f t="shared" ca="1" si="47"/>
        <v>-5.1517584937208039E-2</v>
      </c>
      <c r="L144" s="136">
        <f t="shared" ca="1" si="48"/>
        <v>-154552.75481162412</v>
      </c>
      <c r="M144" s="138">
        <f t="shared" ca="1" si="49"/>
        <v>2852522.5337589793</v>
      </c>
      <c r="N144" s="73">
        <f t="shared" ca="1" si="50"/>
        <v>-4.9159155413673564E-2</v>
      </c>
      <c r="O144" s="136">
        <f t="shared" ca="1" si="51"/>
        <v>-147477.46624102071</v>
      </c>
    </row>
    <row r="145" spans="1:15" ht="16.5" customHeight="1">
      <c r="A145" s="155">
        <v>10</v>
      </c>
      <c r="B145" s="155" t="str">
        <f>TEXT(투자전략!$G$1+9, "[$-ko-KR]yyyy.mm.dd")</f>
        <v>2021.05.10</v>
      </c>
      <c r="C145" s="134">
        <f t="shared" ca="1" si="39"/>
        <v>3000000</v>
      </c>
      <c r="D145" s="138">
        <f t="shared" ca="1" si="40"/>
        <v>3010865.2271170379</v>
      </c>
      <c r="E145" s="73">
        <f t="shared" ca="1" si="41"/>
        <v>3.6217423723458085E-3</v>
      </c>
      <c r="F145" s="136">
        <f t="shared" ca="1" si="42"/>
        <v>10865.22711703743</v>
      </c>
      <c r="G145" s="138">
        <f t="shared" ca="1" si="43"/>
        <v>3058985.3892217488</v>
      </c>
      <c r="H145" s="73">
        <f t="shared" ca="1" si="44"/>
        <v>1.9661796407249688E-2</v>
      </c>
      <c r="I145" s="136">
        <f t="shared" ca="1" si="45"/>
        <v>58985.389221749065</v>
      </c>
      <c r="J145" s="138">
        <f t="shared" ca="1" si="46"/>
        <v>3047213.8864318477</v>
      </c>
      <c r="K145" s="73">
        <f t="shared" ca="1" si="47"/>
        <v>1.573796214394934E-2</v>
      </c>
      <c r="L145" s="136">
        <f t="shared" ca="1" si="48"/>
        <v>47213.886431848026</v>
      </c>
      <c r="M145" s="138">
        <f t="shared" ca="1" si="49"/>
        <v>3010097.110272977</v>
      </c>
      <c r="N145" s="73">
        <f t="shared" ca="1" si="50"/>
        <v>3.3657034243257779E-3</v>
      </c>
      <c r="O145" s="136">
        <f t="shared" ca="1" si="51"/>
        <v>10097.110272977328</v>
      </c>
    </row>
    <row r="146" spans="1:15" ht="16.5" customHeight="1">
      <c r="A146" s="155">
        <v>11</v>
      </c>
      <c r="B146" s="155" t="str">
        <f>TEXT(투자전략!$G$1+10, "[$-ko-KR]yyyy.mm.dd")</f>
        <v>2021.05.11</v>
      </c>
      <c r="C146" s="134">
        <f t="shared" ca="1" si="39"/>
        <v>3000000</v>
      </c>
      <c r="D146" s="138">
        <f t="shared" ca="1" si="40"/>
        <v>2730900.1650714334</v>
      </c>
      <c r="E146" s="73">
        <f t="shared" ca="1" si="41"/>
        <v>-8.9699944976188856E-2</v>
      </c>
      <c r="F146" s="136">
        <f t="shared" ca="1" si="42"/>
        <v>-269099.83492856659</v>
      </c>
      <c r="G146" s="138">
        <f t="shared" ca="1" si="43"/>
        <v>2795743.4833427467</v>
      </c>
      <c r="H146" s="73">
        <f t="shared" ca="1" si="44"/>
        <v>-6.8085505552417741E-2</v>
      </c>
      <c r="I146" s="136">
        <f t="shared" ca="1" si="45"/>
        <v>-204256.51665725323</v>
      </c>
      <c r="J146" s="138">
        <f t="shared" ca="1" si="46"/>
        <v>2798583.8359378688</v>
      </c>
      <c r="K146" s="73">
        <f t="shared" ca="1" si="47"/>
        <v>-6.7138721354043723E-2</v>
      </c>
      <c r="L146" s="136">
        <f t="shared" ca="1" si="48"/>
        <v>-201416.16406213114</v>
      </c>
      <c r="M146" s="138">
        <f t="shared" ca="1" si="49"/>
        <v>2797115.6657948871</v>
      </c>
      <c r="N146" s="73">
        <f t="shared" ca="1" si="50"/>
        <v>-6.7628111401704341E-2</v>
      </c>
      <c r="O146" s="136">
        <f t="shared" ca="1" si="51"/>
        <v>-202884.334205113</v>
      </c>
    </row>
    <row r="147" spans="1:15" ht="16.5" customHeight="1">
      <c r="A147" s="155">
        <v>12</v>
      </c>
      <c r="B147" s="155" t="str">
        <f>TEXT(투자전략!$G$1+11, "[$-ko-KR]yyyy.mm.dd")</f>
        <v>2021.05.12</v>
      </c>
      <c r="C147" s="134">
        <f t="shared" ca="1" si="39"/>
        <v>3000000</v>
      </c>
      <c r="D147" s="138">
        <f t="shared" ca="1" si="40"/>
        <v>3084252.176437628</v>
      </c>
      <c r="E147" s="73">
        <f t="shared" ca="1" si="41"/>
        <v>2.8084058812542601E-2</v>
      </c>
      <c r="F147" s="136">
        <f t="shared" ca="1" si="42"/>
        <v>84252.176437627815</v>
      </c>
      <c r="G147" s="138">
        <f t="shared" ca="1" si="43"/>
        <v>3063567.3008843879</v>
      </c>
      <c r="H147" s="73">
        <f t="shared" ca="1" si="44"/>
        <v>2.1189100294795961E-2</v>
      </c>
      <c r="I147" s="136">
        <f t="shared" ca="1" si="45"/>
        <v>63567.300884387907</v>
      </c>
      <c r="J147" s="138">
        <f t="shared" ca="1" si="46"/>
        <v>3093005.2288917913</v>
      </c>
      <c r="K147" s="73">
        <f t="shared" ca="1" si="47"/>
        <v>3.1001742963930445E-2</v>
      </c>
      <c r="L147" s="136">
        <f t="shared" ca="1" si="48"/>
        <v>93005.228891791325</v>
      </c>
      <c r="M147" s="138">
        <f t="shared" ca="1" si="49"/>
        <v>2960394.0707102548</v>
      </c>
      <c r="N147" s="73">
        <f t="shared" ca="1" si="50"/>
        <v>-1.3201976429915042E-2</v>
      </c>
      <c r="O147" s="136">
        <f t="shared" ca="1" si="51"/>
        <v>-39605.929289745131</v>
      </c>
    </row>
    <row r="148" spans="1:15" ht="16.5" customHeight="1">
      <c r="A148" s="155">
        <v>13</v>
      </c>
      <c r="B148" s="155" t="str">
        <f>TEXT(투자전략!$G$1+12, "[$-ko-KR]yyyy.mm.dd")</f>
        <v>2021.05.13</v>
      </c>
      <c r="C148" s="134">
        <f t="shared" ca="1" si="39"/>
        <v>3000000</v>
      </c>
      <c r="D148" s="138">
        <f t="shared" ca="1" si="40"/>
        <v>2751390.4268662711</v>
      </c>
      <c r="E148" s="73">
        <f t="shared" ca="1" si="41"/>
        <v>-8.2869857711242972E-2</v>
      </c>
      <c r="F148" s="136">
        <f t="shared" ca="1" si="42"/>
        <v>-248609.57313372887</v>
      </c>
      <c r="G148" s="138">
        <f t="shared" ca="1" si="43"/>
        <v>2649824.6148943198</v>
      </c>
      <c r="H148" s="73">
        <f t="shared" ca="1" si="44"/>
        <v>-0.11672512836856008</v>
      </c>
      <c r="I148" s="136">
        <f t="shared" ca="1" si="45"/>
        <v>-350175.38510568033</v>
      </c>
      <c r="J148" s="138">
        <f t="shared" ca="1" si="46"/>
        <v>2688706.7762220781</v>
      </c>
      <c r="K148" s="73">
        <f t="shared" ca="1" si="47"/>
        <v>-0.10376440792597394</v>
      </c>
      <c r="L148" s="136">
        <f t="shared" ca="1" si="48"/>
        <v>-311293.22377792187</v>
      </c>
      <c r="M148" s="138">
        <f t="shared" ca="1" si="49"/>
        <v>2678739.445153262</v>
      </c>
      <c r="N148" s="73">
        <f t="shared" ca="1" si="50"/>
        <v>-0.10708685161557929</v>
      </c>
      <c r="O148" s="136">
        <f t="shared" ca="1" si="51"/>
        <v>-321260.55484673782</v>
      </c>
    </row>
    <row r="149" spans="1:15" ht="16.5" customHeight="1" thickBot="1">
      <c r="A149" s="157">
        <v>14</v>
      </c>
      <c r="B149" s="157" t="str">
        <f>TEXT(투자전략!$G$1+13, "[$-ko-KR]yyyy.mm.dd")</f>
        <v>2021.05.14</v>
      </c>
      <c r="C149" s="135">
        <f t="shared" ca="1" si="39"/>
        <v>3000000</v>
      </c>
      <c r="D149" s="139">
        <f t="shared" ca="1" si="40"/>
        <v>3069088.161582049</v>
      </c>
      <c r="E149" s="75">
        <f t="shared" ca="1" si="41"/>
        <v>2.3029387194016322E-2</v>
      </c>
      <c r="F149" s="137">
        <f t="shared" ca="1" si="42"/>
        <v>69088.161582048953</v>
      </c>
      <c r="G149" s="139">
        <f t="shared" ca="1" si="43"/>
        <v>3080907.9159849994</v>
      </c>
      <c r="H149" s="75">
        <f t="shared" ca="1" si="44"/>
        <v>2.6969305328333193E-2</v>
      </c>
      <c r="I149" s="137">
        <f t="shared" ca="1" si="45"/>
        <v>80907.915984999592</v>
      </c>
      <c r="J149" s="139">
        <f t="shared" ca="1" si="46"/>
        <v>3082865.3786015809</v>
      </c>
      <c r="K149" s="75">
        <f t="shared" ca="1" si="47"/>
        <v>2.7621792867193639E-2</v>
      </c>
      <c r="L149" s="137">
        <f t="shared" ca="1" si="48"/>
        <v>82865.378601580916</v>
      </c>
      <c r="M149" s="139">
        <f t="shared" ca="1" si="49"/>
        <v>3084497.3231665436</v>
      </c>
      <c r="N149" s="75">
        <f t="shared" ca="1" si="50"/>
        <v>2.816577438884783E-2</v>
      </c>
      <c r="O149" s="137">
        <f t="shared" ca="1" si="51"/>
        <v>84497.323166543458</v>
      </c>
    </row>
    <row r="150" spans="1:15" ht="16.5" customHeight="1">
      <c r="A150" s="156">
        <v>15</v>
      </c>
      <c r="B150" s="156" t="str">
        <f>TEXT(투자전략!$G$1+14, "[$-ko-KR]yyyy.mm.dd")</f>
        <v>2021.05.15</v>
      </c>
      <c r="C150" s="134">
        <f t="shared" ca="1" si="39"/>
        <v>3000000</v>
      </c>
      <c r="D150" s="138">
        <f t="shared" ca="1" si="40"/>
        <v>3021665.374646659</v>
      </c>
      <c r="E150" s="73">
        <f t="shared" ca="1" si="41"/>
        <v>7.2217915488863626E-3</v>
      </c>
      <c r="F150" s="136">
        <f t="shared" ca="1" si="42"/>
        <v>21665.374646659075</v>
      </c>
      <c r="G150" s="138">
        <f t="shared" ca="1" si="43"/>
        <v>2915785.4690381689</v>
      </c>
      <c r="H150" s="73">
        <f t="shared" ca="1" si="44"/>
        <v>-2.8071510320610449E-2</v>
      </c>
      <c r="I150" s="136">
        <f t="shared" ca="1" si="45"/>
        <v>-84214.530961831348</v>
      </c>
      <c r="J150" s="138">
        <f t="shared" ca="1" si="46"/>
        <v>2951100.8827681192</v>
      </c>
      <c r="K150" s="73">
        <f t="shared" ca="1" si="47"/>
        <v>-1.6299705743960349E-2</v>
      </c>
      <c r="L150" s="136">
        <f t="shared" ca="1" si="48"/>
        <v>-48899.117231881042</v>
      </c>
      <c r="M150" s="138">
        <f t="shared" ca="1" si="49"/>
        <v>2959468.2930775932</v>
      </c>
      <c r="N150" s="73">
        <f t="shared" ca="1" si="50"/>
        <v>-1.3510568974135554E-2</v>
      </c>
      <c r="O150" s="136">
        <f t="shared" ca="1" si="51"/>
        <v>-40531.706922406651</v>
      </c>
    </row>
    <row r="151" spans="1:15" ht="16.5" customHeight="1">
      <c r="A151" s="155">
        <v>16</v>
      </c>
      <c r="B151" s="155" t="str">
        <f>TEXT(투자전략!$G$1+15, "[$-ko-KR]yyyy.mm.dd")</f>
        <v>2021.05.16</v>
      </c>
      <c r="C151" s="134">
        <f t="shared" ca="1" si="39"/>
        <v>3000000</v>
      </c>
      <c r="D151" s="138">
        <f t="shared" ca="1" si="40"/>
        <v>3000000</v>
      </c>
      <c r="E151" s="73">
        <f t="shared" ca="1" si="41"/>
        <v>0</v>
      </c>
      <c r="F151" s="136">
        <f t="shared" ca="1" si="42"/>
        <v>0</v>
      </c>
      <c r="G151" s="138">
        <f t="shared" ca="1" si="43"/>
        <v>3000000</v>
      </c>
      <c r="H151" s="73">
        <f t="shared" ca="1" si="44"/>
        <v>0</v>
      </c>
      <c r="I151" s="136">
        <f t="shared" ca="1" si="45"/>
        <v>0</v>
      </c>
      <c r="J151" s="138">
        <f t="shared" ca="1" si="46"/>
        <v>3000000</v>
      </c>
      <c r="K151" s="73">
        <f t="shared" ca="1" si="47"/>
        <v>0</v>
      </c>
      <c r="L151" s="136">
        <f t="shared" ca="1" si="48"/>
        <v>0</v>
      </c>
      <c r="M151" s="138">
        <f t="shared" ca="1" si="49"/>
        <v>3000000</v>
      </c>
      <c r="N151" s="73">
        <f t="shared" ca="1" si="50"/>
        <v>0</v>
      </c>
      <c r="O151" s="136">
        <f t="shared" ca="1" si="51"/>
        <v>0</v>
      </c>
    </row>
    <row r="152" spans="1:15" ht="16.5" customHeight="1">
      <c r="A152" s="155">
        <v>17</v>
      </c>
      <c r="B152" s="155" t="str">
        <f>TEXT(투자전략!$G$1+16, "[$-ko-KR]yyyy.mm.dd")</f>
        <v>2021.05.17</v>
      </c>
      <c r="C152" s="134" t="str">
        <f t="shared" ca="1" si="39"/>
        <v/>
      </c>
      <c r="D152" s="138" t="str">
        <f t="shared" ca="1" si="40"/>
        <v/>
      </c>
      <c r="E152" s="73" t="str">
        <f t="shared" ca="1" si="41"/>
        <v/>
      </c>
      <c r="F152" s="136" t="str">
        <f t="shared" ca="1" si="42"/>
        <v/>
      </c>
      <c r="G152" s="138" t="str">
        <f t="shared" ca="1" si="43"/>
        <v/>
      </c>
      <c r="H152" s="73" t="str">
        <f t="shared" ca="1" si="44"/>
        <v/>
      </c>
      <c r="I152" s="136" t="str">
        <f t="shared" ca="1" si="45"/>
        <v/>
      </c>
      <c r="J152" s="138" t="str">
        <f t="shared" ca="1" si="46"/>
        <v/>
      </c>
      <c r="K152" s="73" t="str">
        <f t="shared" ca="1" si="47"/>
        <v/>
      </c>
      <c r="L152" s="136" t="str">
        <f t="shared" ca="1" si="48"/>
        <v/>
      </c>
      <c r="M152" s="138" t="str">
        <f t="shared" ca="1" si="49"/>
        <v/>
      </c>
      <c r="N152" s="73" t="str">
        <f t="shared" ca="1" si="50"/>
        <v/>
      </c>
      <c r="O152" s="136" t="str">
        <f t="shared" ca="1" si="51"/>
        <v/>
      </c>
    </row>
    <row r="153" spans="1:15" ht="16.5" customHeight="1">
      <c r="A153" s="155">
        <v>18</v>
      </c>
      <c r="B153" s="155" t="str">
        <f>TEXT(투자전략!$G$1+17, "[$-ko-KR]yyyy.mm.dd")</f>
        <v>2021.05.18</v>
      </c>
      <c r="C153" s="134" t="str">
        <f t="shared" ca="1" si="39"/>
        <v/>
      </c>
      <c r="D153" s="138" t="str">
        <f t="shared" ca="1" si="40"/>
        <v/>
      </c>
      <c r="E153" s="73" t="str">
        <f t="shared" ca="1" si="41"/>
        <v/>
      </c>
      <c r="F153" s="136" t="str">
        <f t="shared" ca="1" si="42"/>
        <v/>
      </c>
      <c r="G153" s="138" t="str">
        <f t="shared" ca="1" si="43"/>
        <v/>
      </c>
      <c r="H153" s="73" t="str">
        <f t="shared" ca="1" si="44"/>
        <v/>
      </c>
      <c r="I153" s="136" t="str">
        <f t="shared" ca="1" si="45"/>
        <v/>
      </c>
      <c r="J153" s="138" t="str">
        <f t="shared" ca="1" si="46"/>
        <v/>
      </c>
      <c r="K153" s="73" t="str">
        <f t="shared" ca="1" si="47"/>
        <v/>
      </c>
      <c r="L153" s="136" t="str">
        <f t="shared" ca="1" si="48"/>
        <v/>
      </c>
      <c r="M153" s="138" t="str">
        <f t="shared" ca="1" si="49"/>
        <v/>
      </c>
      <c r="N153" s="73" t="str">
        <f t="shared" ca="1" si="50"/>
        <v/>
      </c>
      <c r="O153" s="136" t="str">
        <f t="shared" ca="1" si="51"/>
        <v/>
      </c>
    </row>
    <row r="154" spans="1:15" ht="16.5" customHeight="1">
      <c r="A154" s="155">
        <v>19</v>
      </c>
      <c r="B154" s="155" t="str">
        <f>TEXT(투자전략!$G$1+18, "[$-ko-KR]yyyy.mm.dd")</f>
        <v>2021.05.19</v>
      </c>
      <c r="C154" s="134" t="str">
        <f t="shared" ca="1" si="39"/>
        <v/>
      </c>
      <c r="D154" s="138" t="str">
        <f t="shared" ca="1" si="40"/>
        <v/>
      </c>
      <c r="E154" s="73" t="str">
        <f t="shared" ca="1" si="41"/>
        <v/>
      </c>
      <c r="F154" s="136" t="str">
        <f t="shared" ca="1" si="42"/>
        <v/>
      </c>
      <c r="G154" s="138" t="str">
        <f t="shared" ca="1" si="43"/>
        <v/>
      </c>
      <c r="H154" s="73" t="str">
        <f t="shared" ca="1" si="44"/>
        <v/>
      </c>
      <c r="I154" s="136" t="str">
        <f t="shared" ca="1" si="45"/>
        <v/>
      </c>
      <c r="J154" s="138" t="str">
        <f t="shared" ca="1" si="46"/>
        <v/>
      </c>
      <c r="K154" s="73" t="str">
        <f t="shared" ca="1" si="47"/>
        <v/>
      </c>
      <c r="L154" s="136" t="str">
        <f t="shared" ca="1" si="48"/>
        <v/>
      </c>
      <c r="M154" s="138" t="str">
        <f t="shared" ca="1" si="49"/>
        <v/>
      </c>
      <c r="N154" s="73" t="str">
        <f t="shared" ca="1" si="50"/>
        <v/>
      </c>
      <c r="O154" s="136" t="str">
        <f t="shared" ca="1" si="51"/>
        <v/>
      </c>
    </row>
    <row r="155" spans="1:15" ht="16.5" customHeight="1">
      <c r="A155" s="155">
        <v>20</v>
      </c>
      <c r="B155" s="155" t="str">
        <f>TEXT(투자전략!$G$1+19, "[$-ko-KR]yyyy.mm.dd")</f>
        <v>2021.05.20</v>
      </c>
      <c r="C155" s="134" t="str">
        <f t="shared" ca="1" si="39"/>
        <v/>
      </c>
      <c r="D155" s="138" t="str">
        <f t="shared" ca="1" si="40"/>
        <v/>
      </c>
      <c r="E155" s="73" t="str">
        <f t="shared" ca="1" si="41"/>
        <v/>
      </c>
      <c r="F155" s="136" t="str">
        <f t="shared" ca="1" si="42"/>
        <v/>
      </c>
      <c r="G155" s="138" t="str">
        <f t="shared" ca="1" si="43"/>
        <v/>
      </c>
      <c r="H155" s="73" t="str">
        <f t="shared" ca="1" si="44"/>
        <v/>
      </c>
      <c r="I155" s="136" t="str">
        <f t="shared" ca="1" si="45"/>
        <v/>
      </c>
      <c r="J155" s="138" t="str">
        <f t="shared" ca="1" si="46"/>
        <v/>
      </c>
      <c r="K155" s="73" t="str">
        <f t="shared" ca="1" si="47"/>
        <v/>
      </c>
      <c r="L155" s="136" t="str">
        <f t="shared" ca="1" si="48"/>
        <v/>
      </c>
      <c r="M155" s="138" t="str">
        <f t="shared" ca="1" si="49"/>
        <v/>
      </c>
      <c r="N155" s="73" t="str">
        <f t="shared" ca="1" si="50"/>
        <v/>
      </c>
      <c r="O155" s="136" t="str">
        <f t="shared" ca="1" si="51"/>
        <v/>
      </c>
    </row>
    <row r="156" spans="1:15" ht="16.5" customHeight="1" thickBot="1">
      <c r="A156" s="157">
        <v>21</v>
      </c>
      <c r="B156" s="157" t="str">
        <f>TEXT(투자전략!$G$1+20, "[$-ko-KR]yyyy.mm.dd")</f>
        <v>2021.05.21</v>
      </c>
      <c r="C156" s="134" t="str">
        <f t="shared" ca="1" si="39"/>
        <v/>
      </c>
      <c r="D156" s="138" t="str">
        <f t="shared" ca="1" si="40"/>
        <v/>
      </c>
      <c r="E156" s="73" t="str">
        <f t="shared" ca="1" si="41"/>
        <v/>
      </c>
      <c r="F156" s="136" t="str">
        <f t="shared" ca="1" si="42"/>
        <v/>
      </c>
      <c r="G156" s="138" t="str">
        <f t="shared" ca="1" si="43"/>
        <v/>
      </c>
      <c r="H156" s="73" t="str">
        <f t="shared" ca="1" si="44"/>
        <v/>
      </c>
      <c r="I156" s="136" t="str">
        <f t="shared" ca="1" si="45"/>
        <v/>
      </c>
      <c r="J156" s="138" t="str">
        <f t="shared" ca="1" si="46"/>
        <v/>
      </c>
      <c r="K156" s="73" t="str">
        <f t="shared" ca="1" si="47"/>
        <v/>
      </c>
      <c r="L156" s="136" t="str">
        <f t="shared" ca="1" si="48"/>
        <v/>
      </c>
      <c r="M156" s="138" t="str">
        <f t="shared" ca="1" si="49"/>
        <v/>
      </c>
      <c r="N156" s="73" t="str">
        <f t="shared" ca="1" si="50"/>
        <v/>
      </c>
      <c r="O156" s="136" t="str">
        <f t="shared" ca="1" si="51"/>
        <v/>
      </c>
    </row>
    <row r="157" spans="1:15" ht="16.5" customHeight="1">
      <c r="A157" s="156">
        <v>22</v>
      </c>
      <c r="B157" s="156" t="str">
        <f>TEXT(투자전략!$G$1+21, "[$-ko-KR]yyyy.mm.dd")</f>
        <v>2021.05.22</v>
      </c>
      <c r="C157" s="133" t="str">
        <f t="shared" ca="1" si="39"/>
        <v/>
      </c>
      <c r="D157" s="141" t="str">
        <f t="shared" ca="1" si="40"/>
        <v/>
      </c>
      <c r="E157" s="72" t="str">
        <f t="shared" ca="1" si="41"/>
        <v/>
      </c>
      <c r="F157" s="140" t="str">
        <f t="shared" ca="1" si="42"/>
        <v/>
      </c>
      <c r="G157" s="141" t="str">
        <f t="shared" ca="1" si="43"/>
        <v/>
      </c>
      <c r="H157" s="72" t="str">
        <f t="shared" ca="1" si="44"/>
        <v/>
      </c>
      <c r="I157" s="140" t="str">
        <f t="shared" ca="1" si="45"/>
        <v/>
      </c>
      <c r="J157" s="141" t="str">
        <f t="shared" ca="1" si="46"/>
        <v/>
      </c>
      <c r="K157" s="72" t="str">
        <f t="shared" ca="1" si="47"/>
        <v/>
      </c>
      <c r="L157" s="140" t="str">
        <f t="shared" ca="1" si="48"/>
        <v/>
      </c>
      <c r="M157" s="141" t="str">
        <f t="shared" ca="1" si="49"/>
        <v/>
      </c>
      <c r="N157" s="72" t="str">
        <f t="shared" ca="1" si="50"/>
        <v/>
      </c>
      <c r="O157" s="140" t="str">
        <f t="shared" ca="1" si="51"/>
        <v/>
      </c>
    </row>
    <row r="158" spans="1:15" ht="16.5" customHeight="1">
      <c r="A158" s="155">
        <v>23</v>
      </c>
      <c r="B158" s="155" t="str">
        <f>TEXT(투자전략!$G$1+22, "[$-ko-KR]yyyy.mm.dd")</f>
        <v>2021.05.23</v>
      </c>
      <c r="C158" s="134" t="str">
        <f t="shared" ca="1" si="39"/>
        <v/>
      </c>
      <c r="D158" s="138" t="str">
        <f t="shared" ca="1" si="40"/>
        <v/>
      </c>
      <c r="E158" s="73" t="str">
        <f t="shared" ca="1" si="41"/>
        <v/>
      </c>
      <c r="F158" s="136" t="str">
        <f t="shared" ca="1" si="42"/>
        <v/>
      </c>
      <c r="G158" s="138" t="str">
        <f t="shared" ca="1" si="43"/>
        <v/>
      </c>
      <c r="H158" s="73" t="str">
        <f t="shared" ca="1" si="44"/>
        <v/>
      </c>
      <c r="I158" s="136" t="str">
        <f t="shared" ca="1" si="45"/>
        <v/>
      </c>
      <c r="J158" s="138" t="str">
        <f t="shared" ca="1" si="46"/>
        <v/>
      </c>
      <c r="K158" s="73" t="str">
        <f t="shared" ca="1" si="47"/>
        <v/>
      </c>
      <c r="L158" s="136" t="str">
        <f t="shared" ca="1" si="48"/>
        <v/>
      </c>
      <c r="M158" s="138" t="str">
        <f t="shared" ca="1" si="49"/>
        <v/>
      </c>
      <c r="N158" s="73" t="str">
        <f t="shared" ca="1" si="50"/>
        <v/>
      </c>
      <c r="O158" s="136" t="str">
        <f t="shared" ca="1" si="51"/>
        <v/>
      </c>
    </row>
    <row r="159" spans="1:15" ht="16.5" customHeight="1">
      <c r="A159" s="155">
        <v>24</v>
      </c>
      <c r="B159" s="155" t="str">
        <f>TEXT(투자전략!$G$1+23, "[$-ko-KR]yyyy.mm.dd")</f>
        <v>2021.05.24</v>
      </c>
      <c r="C159" s="134" t="str">
        <f t="shared" ca="1" si="39"/>
        <v/>
      </c>
      <c r="D159" s="138" t="str">
        <f t="shared" ca="1" si="40"/>
        <v/>
      </c>
      <c r="E159" s="73" t="str">
        <f t="shared" ca="1" si="41"/>
        <v/>
      </c>
      <c r="F159" s="136" t="str">
        <f t="shared" ca="1" si="42"/>
        <v/>
      </c>
      <c r="G159" s="138" t="str">
        <f t="shared" ca="1" si="43"/>
        <v/>
      </c>
      <c r="H159" s="73" t="str">
        <f t="shared" ca="1" si="44"/>
        <v/>
      </c>
      <c r="I159" s="136" t="str">
        <f t="shared" ca="1" si="45"/>
        <v/>
      </c>
      <c r="J159" s="138" t="str">
        <f t="shared" ca="1" si="46"/>
        <v/>
      </c>
      <c r="K159" s="73" t="str">
        <f t="shared" ca="1" si="47"/>
        <v/>
      </c>
      <c r="L159" s="136" t="str">
        <f t="shared" ca="1" si="48"/>
        <v/>
      </c>
      <c r="M159" s="138" t="str">
        <f t="shared" ca="1" si="49"/>
        <v/>
      </c>
      <c r="N159" s="73" t="str">
        <f t="shared" ca="1" si="50"/>
        <v/>
      </c>
      <c r="O159" s="136" t="str">
        <f t="shared" ca="1" si="51"/>
        <v/>
      </c>
    </row>
    <row r="160" spans="1:15" ht="16.5" customHeight="1">
      <c r="A160" s="155">
        <v>25</v>
      </c>
      <c r="B160" s="155" t="str">
        <f>TEXT(투자전략!$G$1+24, "[$-ko-KR]yyyy.mm.dd")</f>
        <v>2021.05.25</v>
      </c>
      <c r="C160" s="134" t="str">
        <f t="shared" ca="1" si="39"/>
        <v/>
      </c>
      <c r="D160" s="138" t="str">
        <f t="shared" ca="1" si="40"/>
        <v/>
      </c>
      <c r="E160" s="73" t="str">
        <f t="shared" ca="1" si="41"/>
        <v/>
      </c>
      <c r="F160" s="136" t="str">
        <f t="shared" ca="1" si="42"/>
        <v/>
      </c>
      <c r="G160" s="138" t="str">
        <f t="shared" ca="1" si="43"/>
        <v/>
      </c>
      <c r="H160" s="73" t="str">
        <f t="shared" ca="1" si="44"/>
        <v/>
      </c>
      <c r="I160" s="136" t="str">
        <f t="shared" ca="1" si="45"/>
        <v/>
      </c>
      <c r="J160" s="138" t="str">
        <f t="shared" ca="1" si="46"/>
        <v/>
      </c>
      <c r="K160" s="73" t="str">
        <f t="shared" ca="1" si="47"/>
        <v/>
      </c>
      <c r="L160" s="136" t="str">
        <f t="shared" ca="1" si="48"/>
        <v/>
      </c>
      <c r="M160" s="138" t="str">
        <f t="shared" ca="1" si="49"/>
        <v/>
      </c>
      <c r="N160" s="73" t="str">
        <f t="shared" ca="1" si="50"/>
        <v/>
      </c>
      <c r="O160" s="136" t="str">
        <f t="shared" ca="1" si="51"/>
        <v/>
      </c>
    </row>
    <row r="161" spans="1:15" ht="16.5" customHeight="1">
      <c r="A161" s="155">
        <v>26</v>
      </c>
      <c r="B161" s="155" t="str">
        <f>TEXT(투자전략!$G$1+25, "[$-ko-KR]yyyy.mm.dd")</f>
        <v>2021.05.26</v>
      </c>
      <c r="C161" s="134" t="str">
        <f t="shared" ca="1" si="39"/>
        <v/>
      </c>
      <c r="D161" s="138" t="str">
        <f t="shared" ca="1" si="40"/>
        <v/>
      </c>
      <c r="E161" s="73" t="str">
        <f t="shared" ca="1" si="41"/>
        <v/>
      </c>
      <c r="F161" s="136" t="str">
        <f t="shared" ca="1" si="42"/>
        <v/>
      </c>
      <c r="G161" s="138" t="str">
        <f t="shared" ca="1" si="43"/>
        <v/>
      </c>
      <c r="H161" s="73" t="str">
        <f t="shared" ca="1" si="44"/>
        <v/>
      </c>
      <c r="I161" s="136" t="str">
        <f t="shared" ca="1" si="45"/>
        <v/>
      </c>
      <c r="J161" s="138" t="str">
        <f t="shared" ca="1" si="46"/>
        <v/>
      </c>
      <c r="K161" s="73" t="str">
        <f t="shared" ca="1" si="47"/>
        <v/>
      </c>
      <c r="L161" s="136" t="str">
        <f t="shared" ca="1" si="48"/>
        <v/>
      </c>
      <c r="M161" s="138" t="str">
        <f t="shared" ca="1" si="49"/>
        <v/>
      </c>
      <c r="N161" s="73" t="str">
        <f t="shared" ca="1" si="50"/>
        <v/>
      </c>
      <c r="O161" s="136" t="str">
        <f t="shared" ca="1" si="51"/>
        <v/>
      </c>
    </row>
    <row r="162" spans="1:15" ht="16.5" customHeight="1">
      <c r="A162" s="155">
        <v>27</v>
      </c>
      <c r="B162" s="155" t="str">
        <f>TEXT(투자전략!$G$1+26, "[$-ko-KR]yyyy.mm.dd")</f>
        <v>2021.05.27</v>
      </c>
      <c r="C162" s="134" t="str">
        <f t="shared" ca="1" si="39"/>
        <v/>
      </c>
      <c r="D162" s="138" t="str">
        <f t="shared" ca="1" si="40"/>
        <v/>
      </c>
      <c r="E162" s="73" t="str">
        <f t="shared" ca="1" si="41"/>
        <v/>
      </c>
      <c r="F162" s="136" t="str">
        <f t="shared" ca="1" si="42"/>
        <v/>
      </c>
      <c r="G162" s="138" t="str">
        <f t="shared" ca="1" si="43"/>
        <v/>
      </c>
      <c r="H162" s="73" t="str">
        <f t="shared" ca="1" si="44"/>
        <v/>
      </c>
      <c r="I162" s="136" t="str">
        <f t="shared" ca="1" si="45"/>
        <v/>
      </c>
      <c r="J162" s="138" t="str">
        <f t="shared" ca="1" si="46"/>
        <v/>
      </c>
      <c r="K162" s="73" t="str">
        <f t="shared" ca="1" si="47"/>
        <v/>
      </c>
      <c r="L162" s="136" t="str">
        <f t="shared" ca="1" si="48"/>
        <v/>
      </c>
      <c r="M162" s="138" t="str">
        <f t="shared" ca="1" si="49"/>
        <v/>
      </c>
      <c r="N162" s="73" t="str">
        <f t="shared" ca="1" si="50"/>
        <v/>
      </c>
      <c r="O162" s="136" t="str">
        <f t="shared" ca="1" si="51"/>
        <v/>
      </c>
    </row>
    <row r="163" spans="1:15" ht="16.5" customHeight="1" thickBot="1">
      <c r="A163" s="157">
        <v>28</v>
      </c>
      <c r="B163" s="157" t="str">
        <f>TEXT(투자전략!$G$1+27, "[$-ko-KR]yyyy.mm.dd")</f>
        <v>2021.05.28</v>
      </c>
      <c r="C163" s="135" t="str">
        <f t="shared" ca="1" si="39"/>
        <v/>
      </c>
      <c r="D163" s="139" t="str">
        <f t="shared" ca="1" si="40"/>
        <v/>
      </c>
      <c r="E163" s="75" t="str">
        <f t="shared" ca="1" si="41"/>
        <v/>
      </c>
      <c r="F163" s="137" t="str">
        <f t="shared" ca="1" si="42"/>
        <v/>
      </c>
      <c r="G163" s="139" t="str">
        <f t="shared" ca="1" si="43"/>
        <v/>
      </c>
      <c r="H163" s="75" t="str">
        <f t="shared" ca="1" si="44"/>
        <v/>
      </c>
      <c r="I163" s="137" t="str">
        <f t="shared" ca="1" si="45"/>
        <v/>
      </c>
      <c r="J163" s="139" t="str">
        <f t="shared" ca="1" si="46"/>
        <v/>
      </c>
      <c r="K163" s="75" t="str">
        <f t="shared" ca="1" si="47"/>
        <v/>
      </c>
      <c r="L163" s="137" t="str">
        <f t="shared" ca="1" si="48"/>
        <v/>
      </c>
      <c r="M163" s="139" t="str">
        <f t="shared" ca="1" si="49"/>
        <v/>
      </c>
      <c r="N163" s="75" t="str">
        <f t="shared" ca="1" si="50"/>
        <v/>
      </c>
      <c r="O163" s="137" t="str">
        <f t="shared" ca="1" si="51"/>
        <v/>
      </c>
    </row>
    <row r="164" spans="1:15" ht="16.5" customHeight="1">
      <c r="A164" s="120">
        <v>29</v>
      </c>
      <c r="B164" s="156" t="str">
        <f>TEXT(투자전략!$G$1+28, "[$-ko-KR]yyyy.mm.dd")</f>
        <v>2021.05.29</v>
      </c>
      <c r="C164" s="134" t="str">
        <f t="shared" ca="1" si="39"/>
        <v/>
      </c>
      <c r="D164" s="138" t="str">
        <f t="shared" ca="1" si="40"/>
        <v/>
      </c>
      <c r="E164" s="73" t="str">
        <f t="shared" ca="1" si="41"/>
        <v/>
      </c>
      <c r="F164" s="136" t="str">
        <f t="shared" ca="1" si="42"/>
        <v/>
      </c>
      <c r="G164" s="138" t="str">
        <f t="shared" ca="1" si="43"/>
        <v/>
      </c>
      <c r="H164" s="73" t="str">
        <f t="shared" ca="1" si="44"/>
        <v/>
      </c>
      <c r="I164" s="136" t="str">
        <f t="shared" ca="1" si="45"/>
        <v/>
      </c>
      <c r="J164" s="138" t="str">
        <f t="shared" ca="1" si="46"/>
        <v/>
      </c>
      <c r="K164" s="73" t="str">
        <f t="shared" ca="1" si="47"/>
        <v/>
      </c>
      <c r="L164" s="136" t="str">
        <f t="shared" ca="1" si="48"/>
        <v/>
      </c>
      <c r="M164" s="138" t="str">
        <f t="shared" ca="1" si="49"/>
        <v/>
      </c>
      <c r="N164" s="73" t="str">
        <f t="shared" ca="1" si="50"/>
        <v/>
      </c>
      <c r="O164" s="136" t="str">
        <f t="shared" ca="1" si="51"/>
        <v/>
      </c>
    </row>
    <row r="165" spans="1:15" ht="16.5" customHeight="1">
      <c r="A165" s="120">
        <v>30</v>
      </c>
      <c r="B165" s="155" t="str">
        <f>TEXT(투자전략!$G$1+29, "[$-ko-KR]yyyy.mm.dd")</f>
        <v>2021.05.30</v>
      </c>
      <c r="C165" s="134" t="str">
        <f t="shared" ca="1" si="39"/>
        <v/>
      </c>
      <c r="D165" s="138" t="str">
        <f t="shared" ca="1" si="40"/>
        <v/>
      </c>
      <c r="E165" s="73" t="str">
        <f t="shared" ca="1" si="41"/>
        <v/>
      </c>
      <c r="F165" s="136" t="str">
        <f t="shared" ca="1" si="42"/>
        <v/>
      </c>
      <c r="G165" s="138" t="str">
        <f t="shared" ca="1" si="43"/>
        <v/>
      </c>
      <c r="H165" s="73" t="str">
        <f t="shared" ca="1" si="44"/>
        <v/>
      </c>
      <c r="I165" s="136" t="str">
        <f t="shared" ca="1" si="45"/>
        <v/>
      </c>
      <c r="J165" s="138" t="str">
        <f t="shared" ca="1" si="46"/>
        <v/>
      </c>
      <c r="K165" s="73" t="str">
        <f t="shared" ca="1" si="47"/>
        <v/>
      </c>
      <c r="L165" s="136" t="str">
        <f t="shared" ca="1" si="48"/>
        <v/>
      </c>
      <c r="M165" s="138" t="str">
        <f t="shared" ca="1" si="49"/>
        <v/>
      </c>
      <c r="N165" s="73" t="str">
        <f t="shared" ca="1" si="50"/>
        <v/>
      </c>
      <c r="O165" s="136" t="str">
        <f t="shared" ca="1" si="51"/>
        <v/>
      </c>
    </row>
    <row r="166" spans="1:15" ht="16.5" customHeight="1" thickBot="1">
      <c r="A166" s="120">
        <v>31</v>
      </c>
      <c r="B166" s="155" t="str">
        <f>TEXT(투자전략!$G$1+30, "[$-ko-KR]yyyy.mm.dd")</f>
        <v>2021.05.31</v>
      </c>
      <c r="C166" s="135" t="str">
        <f t="shared" ca="1" si="39"/>
        <v/>
      </c>
      <c r="D166" s="139" t="str">
        <f t="shared" ca="1" si="40"/>
        <v/>
      </c>
      <c r="E166" s="75" t="str">
        <f t="shared" ca="1" si="41"/>
        <v/>
      </c>
      <c r="F166" s="137" t="str">
        <f t="shared" ca="1" si="42"/>
        <v/>
      </c>
      <c r="G166" s="139" t="str">
        <f t="shared" ca="1" si="43"/>
        <v/>
      </c>
      <c r="H166" s="75" t="str">
        <f t="shared" ca="1" si="44"/>
        <v/>
      </c>
      <c r="I166" s="137" t="str">
        <f t="shared" ca="1" si="45"/>
        <v/>
      </c>
      <c r="J166" s="139" t="str">
        <f t="shared" ca="1" si="46"/>
        <v/>
      </c>
      <c r="K166" s="75" t="str">
        <f t="shared" ca="1" si="47"/>
        <v/>
      </c>
      <c r="L166" s="137" t="str">
        <f t="shared" ca="1" si="48"/>
        <v/>
      </c>
      <c r="M166" s="139" t="str">
        <f t="shared" ca="1" si="49"/>
        <v/>
      </c>
      <c r="N166" s="75" t="str">
        <f t="shared" ca="1" si="50"/>
        <v/>
      </c>
      <c r="O166" s="137" t="str">
        <f t="shared" ca="1" si="51"/>
        <v/>
      </c>
    </row>
    <row r="167" spans="1:15" ht="16.5" customHeight="1" thickBot="1">
      <c r="A167" s="258" t="s">
        <v>319</v>
      </c>
      <c r="B167" s="260"/>
      <c r="C167" s="131" t="s">
        <v>314</v>
      </c>
      <c r="D167" s="149" t="s">
        <v>315</v>
      </c>
      <c r="E167" s="150" t="s">
        <v>316</v>
      </c>
      <c r="F167" s="151" t="s">
        <v>317</v>
      </c>
      <c r="G167" s="149" t="s">
        <v>315</v>
      </c>
      <c r="H167" s="150" t="s">
        <v>316</v>
      </c>
      <c r="I167" s="151" t="s">
        <v>317</v>
      </c>
      <c r="J167" s="149" t="s">
        <v>315</v>
      </c>
      <c r="K167" s="150" t="s">
        <v>316</v>
      </c>
      <c r="L167" s="151" t="s">
        <v>317</v>
      </c>
      <c r="M167" s="149" t="s">
        <v>315</v>
      </c>
      <c r="N167" s="150" t="s">
        <v>316</v>
      </c>
      <c r="O167" s="151" t="s">
        <v>317</v>
      </c>
    </row>
    <row r="168" spans="1:15" ht="16.5" customHeight="1" thickBot="1">
      <c r="A168" s="264"/>
      <c r="B168" s="266"/>
      <c r="C168" s="135">
        <f ca="1">SUM(C136:C166)</f>
        <v>60000000</v>
      </c>
      <c r="D168" s="139">
        <f ca="1">SUM(D136:D166)</f>
        <v>60331165.712927528</v>
      </c>
      <c r="E168" s="75">
        <f ca="1">IFERROR(F168 / (SUM($C136:$C166) / COUNT($C136:$C166)), 0)</f>
        <v>8.8310856780676503E-2</v>
      </c>
      <c r="F168" s="137">
        <f ca="1">SUM(F136:F166)</f>
        <v>331165.71292753686</v>
      </c>
      <c r="G168" s="139">
        <f ca="1">SUM(G136:G166)</f>
        <v>60501939.203352787</v>
      </c>
      <c r="H168" s="75">
        <f ca="1">IFERROR(I168 / (SUM($C136:$C166) / COUNT($C136:$C166)), 0)</f>
        <v>0.13385045422741135</v>
      </c>
      <c r="I168" s="137">
        <f ca="1">SUM(I136:I166)</f>
        <v>501939.20335279254</v>
      </c>
      <c r="J168" s="139">
        <f ca="1">SUM(J136:J166)</f>
        <v>60880360.467751928</v>
      </c>
      <c r="K168" s="75">
        <f ca="1">IFERROR(L168 / (SUM($C136:$C166) / COUNT($C136:$C166)), 0)</f>
        <v>0.23476279140051565</v>
      </c>
      <c r="L168" s="137">
        <f ca="1">SUM(L136:L166)</f>
        <v>880360.46775193373</v>
      </c>
      <c r="M168" s="139">
        <f ca="1">SUM(M136:M166)</f>
        <v>60457747.848598644</v>
      </c>
      <c r="N168" s="75">
        <f ca="1">IFERROR(O168 / (SUM($C136:$C166) / COUNT($C136:$C166)), 0)</f>
        <v>0.12206609295963698</v>
      </c>
      <c r="O168" s="137">
        <f ca="1">SUM(O136:O166)</f>
        <v>457747.84859863867</v>
      </c>
    </row>
    <row r="170" spans="1:15" ht="16.5" customHeight="1" thickBot="1"/>
    <row r="171" spans="1:15" ht="16.5" customHeight="1" thickBot="1">
      <c r="A171" s="249" t="str">
        <f>TEXT(투자전략!$G$1, "[$-ko-KR]yyyy년 mm월 ") &amp; "[엽전코인] 전일대비 상승률 Bottom20 월말결산"</f>
        <v>2021년 05월 [엽전코인] 전일대비 상승률 Bottom20 월말결산</v>
      </c>
      <c r="B171" s="250"/>
      <c r="C171" s="250"/>
      <c r="D171" s="250"/>
      <c r="E171" s="250"/>
      <c r="F171" s="250"/>
      <c r="G171" s="250"/>
      <c r="H171" s="250"/>
      <c r="I171" s="250"/>
      <c r="J171" s="250"/>
      <c r="K171" s="250"/>
      <c r="L171" s="250"/>
      <c r="M171" s="250"/>
      <c r="N171" s="250"/>
      <c r="O171" s="251"/>
    </row>
    <row r="172" spans="1:15" ht="16.5" customHeight="1" thickBot="1">
      <c r="A172" s="310" t="s">
        <v>320</v>
      </c>
      <c r="B172" s="264" t="s">
        <v>318</v>
      </c>
      <c r="C172" s="266"/>
      <c r="D172" s="264" t="s">
        <v>310</v>
      </c>
      <c r="E172" s="265"/>
      <c r="F172" s="266"/>
      <c r="G172" s="264" t="s">
        <v>311</v>
      </c>
      <c r="H172" s="265"/>
      <c r="I172" s="266"/>
      <c r="J172" s="264" t="s">
        <v>312</v>
      </c>
      <c r="K172" s="265"/>
      <c r="L172" s="266"/>
      <c r="M172" s="264" t="s">
        <v>313</v>
      </c>
      <c r="N172" s="265"/>
      <c r="O172" s="266"/>
    </row>
    <row r="173" spans="1:15" ht="16.5" customHeight="1" thickBot="1">
      <c r="A173" s="314"/>
      <c r="B173" s="156" t="s">
        <v>308</v>
      </c>
      <c r="C173" s="156" t="s">
        <v>42</v>
      </c>
      <c r="D173" s="120" t="s">
        <v>309</v>
      </c>
      <c r="E173" s="132" t="s">
        <v>40</v>
      </c>
      <c r="F173" s="158" t="s">
        <v>41</v>
      </c>
      <c r="G173" s="120" t="s">
        <v>309</v>
      </c>
      <c r="H173" s="132" t="s">
        <v>40</v>
      </c>
      <c r="I173" s="158" t="s">
        <v>41</v>
      </c>
      <c r="J173" s="120" t="s">
        <v>309</v>
      </c>
      <c r="K173" s="132" t="s">
        <v>40</v>
      </c>
      <c r="L173" s="158" t="s">
        <v>41</v>
      </c>
      <c r="M173" s="120" t="s">
        <v>309</v>
      </c>
      <c r="N173" s="132" t="s">
        <v>40</v>
      </c>
      <c r="O173" s="158" t="s">
        <v>41</v>
      </c>
    </row>
    <row r="174" spans="1:15" ht="16.5" customHeight="1">
      <c r="A174" s="156">
        <v>1</v>
      </c>
      <c r="B174" s="156" t="str">
        <f>TEXT(투자전략!$G$1+0, "[$-ko-KR]yyyy.mm.dd")</f>
        <v>2021.05.01</v>
      </c>
      <c r="C174" s="133">
        <f ca="1">IFERROR(COUNTA(INDIRECT($B174&amp;"!A125:A144")) * INDIRECT($B174&amp;"!B145"), "")</f>
        <v>5700000</v>
      </c>
      <c r="D174" s="141">
        <f ca="1">IFERROR($C174 * (1 + E174), "")</f>
        <v>5796967.8582712999</v>
      </c>
      <c r="E174" s="72">
        <f ca="1">IFERROR(INDIRECT($B174&amp;"!E145"), "")</f>
        <v>1.7011904959877054E-2</v>
      </c>
      <c r="F174" s="140">
        <f ca="1">IFERROR(INDIRECT($B174&amp;"!F145"), "")</f>
        <v>96967.858271299192</v>
      </c>
      <c r="G174" s="141">
        <f ca="1">IFERROR($C174 * (1 + H174), "")</f>
        <v>5762497.1388724633</v>
      </c>
      <c r="H174" s="72">
        <f ca="1">IFERROR(INDIRECT($B174&amp;"!H145"), "")</f>
        <v>1.0964410328502251E-2</v>
      </c>
      <c r="I174" s="140">
        <f ca="1">IFERROR(INDIRECT($B174&amp;"!I145"), "")</f>
        <v>62497.138872462834</v>
      </c>
      <c r="J174" s="141">
        <f ca="1">IFERROR($C174 * (1 + K174), "")</f>
        <v>5794168.1462707957</v>
      </c>
      <c r="K174" s="72">
        <f ca="1">IFERROR(INDIRECT($B174&amp;"!K145"), "")</f>
        <v>1.6520727415929037E-2</v>
      </c>
      <c r="L174" s="140">
        <f ca="1">IFERROR(INDIRECT($B174&amp;"!L145"), "")</f>
        <v>94168.146270795492</v>
      </c>
      <c r="M174" s="141">
        <f ca="1">IFERROR($C174 * (1 + N174), "")</f>
        <v>5791895.125992734</v>
      </c>
      <c r="N174" s="72">
        <f ca="1">IFERROR(INDIRECT($B174&amp;"!N145"), "")</f>
        <v>1.6121951928549837E-2</v>
      </c>
      <c r="O174" s="140">
        <f ca="1">IFERROR(INDIRECT($B174&amp;"!O145"), "")</f>
        <v>91895.125992734043</v>
      </c>
    </row>
    <row r="175" spans="1:15" ht="16.5" customHeight="1">
      <c r="A175" s="155">
        <v>2</v>
      </c>
      <c r="B175" s="155" t="str">
        <f>TEXT(투자전략!$G$1+1, "[$-ko-KR]yyyy.mm.dd")</f>
        <v>2021.05.02</v>
      </c>
      <c r="C175" s="134">
        <f t="shared" ref="C175:C204" ca="1" si="52">IFERROR(COUNTA(INDIRECT($B175&amp;"!A125:A144")) * INDIRECT($B175&amp;"!B145"), "")</f>
        <v>5700000</v>
      </c>
      <c r="D175" s="138">
        <f t="shared" ref="D175:D204" ca="1" si="53">IFERROR($C175 * (1 + E175), "")</f>
        <v>5690911.4456432778</v>
      </c>
      <c r="E175" s="73">
        <f t="shared" ref="E175:E204" ca="1" si="54">IFERROR(INDIRECT($B175&amp;"!E145"), "")</f>
        <v>-1.594483220477585E-3</v>
      </c>
      <c r="F175" s="136">
        <f t="shared" ref="F175:F204" ca="1" si="55">IFERROR(INDIRECT($B175&amp;"!F145"), "")</f>
        <v>-9088.5543567222303</v>
      </c>
      <c r="G175" s="138">
        <f t="shared" ref="G175:G204" ca="1" si="56">IFERROR($C175 * (1 + H175), "")</f>
        <v>5690498.5045738928</v>
      </c>
      <c r="H175" s="73">
        <f t="shared" ref="H175:H204" ca="1" si="57">IFERROR(INDIRECT($B175&amp;"!H145"), "")</f>
        <v>-1.666929022124089E-3</v>
      </c>
      <c r="I175" s="136">
        <f t="shared" ref="I175:I204" ca="1" si="58">IFERROR(INDIRECT($B175&amp;"!I145"), "")</f>
        <v>-9501.4954261073035</v>
      </c>
      <c r="J175" s="138">
        <f t="shared" ref="J175:J204" ca="1" si="59">IFERROR($C175 * (1 + K175), "")</f>
        <v>5725292.5041279895</v>
      </c>
      <c r="K175" s="73">
        <f t="shared" ref="K175:K204" ca="1" si="60">IFERROR(INDIRECT($B175&amp;"!K145"), "")</f>
        <v>4.437281425962906E-3</v>
      </c>
      <c r="L175" s="136">
        <f t="shared" ref="L175:L204" ca="1" si="61">IFERROR(INDIRECT($B175&amp;"!L145"), "")</f>
        <v>25292.50412798857</v>
      </c>
      <c r="M175" s="138">
        <f t="shared" ref="M175:M204" ca="1" si="62">IFERROR($C175 * (1 + N175), "")</f>
        <v>5763933.8531855056</v>
      </c>
      <c r="N175" s="73">
        <f t="shared" ref="N175:N204" ca="1" si="63">IFERROR(INDIRECT($B175&amp;"!N145"), "")</f>
        <v>1.1216465471141364E-2</v>
      </c>
      <c r="O175" s="136">
        <f t="shared" ref="O175:O204" ca="1" si="64">IFERROR(INDIRECT($B175&amp;"!O145"), "")</f>
        <v>63933.853185505781</v>
      </c>
    </row>
    <row r="176" spans="1:15" ht="16.5" customHeight="1">
      <c r="A176" s="155">
        <v>3</v>
      </c>
      <c r="B176" s="155" t="str">
        <f>TEXT(투자전략!$G$1+2, "[$-ko-KR]yyyy.mm.dd")</f>
        <v>2021.05.03</v>
      </c>
      <c r="C176" s="134">
        <f t="shared" ca="1" si="52"/>
        <v>5400000</v>
      </c>
      <c r="D176" s="138">
        <f t="shared" ca="1" si="53"/>
        <v>5575496.9864295339</v>
      </c>
      <c r="E176" s="73">
        <f t="shared" ca="1" si="54"/>
        <v>3.2499441931395062E-2</v>
      </c>
      <c r="F176" s="136">
        <f t="shared" ca="1" si="55"/>
        <v>175496.9864295334</v>
      </c>
      <c r="G176" s="138">
        <f t="shared" ca="1" si="56"/>
        <v>5618685.4874268863</v>
      </c>
      <c r="H176" s="73">
        <f t="shared" ca="1" si="57"/>
        <v>4.0497312486460504E-2</v>
      </c>
      <c r="I176" s="136">
        <f t="shared" ca="1" si="58"/>
        <v>218685.48742688677</v>
      </c>
      <c r="J176" s="138">
        <f t="shared" ca="1" si="59"/>
        <v>5642781.0931354463</v>
      </c>
      <c r="K176" s="73">
        <f t="shared" ca="1" si="60"/>
        <v>4.4959461691749317E-2</v>
      </c>
      <c r="L176" s="136">
        <f t="shared" ca="1" si="61"/>
        <v>242781.09313544634</v>
      </c>
      <c r="M176" s="138">
        <f t="shared" ca="1" si="62"/>
        <v>5599398.2018607762</v>
      </c>
      <c r="N176" s="73">
        <f t="shared" ca="1" si="63"/>
        <v>3.6925592937180791E-2</v>
      </c>
      <c r="O176" s="136">
        <f t="shared" ca="1" si="64"/>
        <v>199398.20186077629</v>
      </c>
    </row>
    <row r="177" spans="1:15" ht="16.5" customHeight="1">
      <c r="A177" s="155">
        <v>4</v>
      </c>
      <c r="B177" s="155" t="str">
        <f>TEXT(투자전략!$G$1+3, "[$-ko-KR]yyyy.mm.dd")</f>
        <v>2021.05.04</v>
      </c>
      <c r="C177" s="134">
        <f t="shared" ca="1" si="52"/>
        <v>5100000</v>
      </c>
      <c r="D177" s="138">
        <f t="shared" ca="1" si="53"/>
        <v>4913291.8029331751</v>
      </c>
      <c r="E177" s="73">
        <f t="shared" ca="1" si="54"/>
        <v>-3.6609450405259723E-2</v>
      </c>
      <c r="F177" s="136">
        <f t="shared" ca="1" si="55"/>
        <v>-186708.19706682459</v>
      </c>
      <c r="G177" s="138">
        <f t="shared" ca="1" si="56"/>
        <v>4944548.6693847794</v>
      </c>
      <c r="H177" s="73">
        <f t="shared" ca="1" si="57"/>
        <v>-3.0480653061807909E-2</v>
      </c>
      <c r="I177" s="136">
        <f t="shared" ca="1" si="58"/>
        <v>-155451.3306152203</v>
      </c>
      <c r="J177" s="138">
        <f t="shared" ca="1" si="59"/>
        <v>4946341.5860611983</v>
      </c>
      <c r="K177" s="73">
        <f t="shared" ca="1" si="60"/>
        <v>-3.0129100772314142E-2</v>
      </c>
      <c r="L177" s="136">
        <f t="shared" ca="1" si="61"/>
        <v>-153658.41393880208</v>
      </c>
      <c r="M177" s="138">
        <f t="shared" ca="1" si="62"/>
        <v>4753721.9406563118</v>
      </c>
      <c r="N177" s="73">
        <f t="shared" ca="1" si="63"/>
        <v>-6.7897658694840837E-2</v>
      </c>
      <c r="O177" s="136">
        <f t="shared" ca="1" si="64"/>
        <v>-346278.05934368825</v>
      </c>
    </row>
    <row r="178" spans="1:15" ht="16.5" customHeight="1">
      <c r="A178" s="155">
        <v>5</v>
      </c>
      <c r="B178" s="155" t="str">
        <f>TEXT(투자전략!$G$1+4, "[$-ko-KR]yyyy.mm.dd")</f>
        <v>2021.05.05</v>
      </c>
      <c r="C178" s="134">
        <f t="shared" ca="1" si="52"/>
        <v>2550000</v>
      </c>
      <c r="D178" s="138">
        <f t="shared" ca="1" si="53"/>
        <v>2414283.6024819729</v>
      </c>
      <c r="E178" s="73">
        <f t="shared" ca="1" si="54"/>
        <v>-5.3222116673736088E-2</v>
      </c>
      <c r="F178" s="136">
        <f t="shared" ca="1" si="55"/>
        <v>-135716.39751802705</v>
      </c>
      <c r="G178" s="138">
        <f t="shared" ca="1" si="56"/>
        <v>2485506.2944377828</v>
      </c>
      <c r="H178" s="73">
        <f t="shared" ca="1" si="57"/>
        <v>-2.5291649240085156E-2</v>
      </c>
      <c r="I178" s="136">
        <f t="shared" ca="1" si="58"/>
        <v>-64493.705562217161</v>
      </c>
      <c r="J178" s="138">
        <f t="shared" ca="1" si="59"/>
        <v>2450988.7532001613</v>
      </c>
      <c r="K178" s="73">
        <f t="shared" ca="1" si="60"/>
        <v>-3.8827939921505517E-2</v>
      </c>
      <c r="L178" s="136">
        <f t="shared" ca="1" si="61"/>
        <v>-99011.246799839064</v>
      </c>
      <c r="M178" s="138">
        <f t="shared" ca="1" si="62"/>
        <v>2522166.9920933945</v>
      </c>
      <c r="N178" s="73">
        <f t="shared" ca="1" si="63"/>
        <v>-1.0914905061413859E-2</v>
      </c>
      <c r="O178" s="136">
        <f t="shared" ca="1" si="64"/>
        <v>-27833.007906605329</v>
      </c>
    </row>
    <row r="179" spans="1:15" ht="16.5" customHeight="1">
      <c r="A179" s="155">
        <v>6</v>
      </c>
      <c r="B179" s="155" t="str">
        <f>TEXT(투자전략!$G$1+5, "[$-ko-KR]yyyy.mm.dd")</f>
        <v>2021.05.06</v>
      </c>
      <c r="C179" s="134">
        <f t="shared" ca="1" si="52"/>
        <v>2700000</v>
      </c>
      <c r="D179" s="138">
        <f t="shared" ca="1" si="53"/>
        <v>2699243.1196434526</v>
      </c>
      <c r="E179" s="73">
        <f t="shared" ca="1" si="54"/>
        <v>-2.8032605798057489E-4</v>
      </c>
      <c r="F179" s="136">
        <f t="shared" ca="1" si="55"/>
        <v>-756.88035654755151</v>
      </c>
      <c r="G179" s="138">
        <f t="shared" ca="1" si="56"/>
        <v>2688883.5356454668</v>
      </c>
      <c r="H179" s="73">
        <f t="shared" ca="1" si="57"/>
        <v>-4.1172090201973717E-3</v>
      </c>
      <c r="I179" s="136">
        <f t="shared" ca="1" si="58"/>
        <v>-11116.464354532902</v>
      </c>
      <c r="J179" s="138">
        <f t="shared" ca="1" si="59"/>
        <v>2685218.8109180443</v>
      </c>
      <c r="K179" s="73">
        <f t="shared" ca="1" si="60"/>
        <v>-5.4745144747983601E-3</v>
      </c>
      <c r="L179" s="136">
        <f t="shared" ca="1" si="61"/>
        <v>-14781.189081955576</v>
      </c>
      <c r="M179" s="138">
        <f t="shared" ca="1" si="62"/>
        <v>2685739.9606291102</v>
      </c>
      <c r="N179" s="73">
        <f t="shared" ca="1" si="63"/>
        <v>-5.2814960632924903E-3</v>
      </c>
      <c r="O179" s="136">
        <f t="shared" ca="1" si="64"/>
        <v>-14260.03937088973</v>
      </c>
    </row>
    <row r="180" spans="1:15" ht="16.5" customHeight="1" thickBot="1">
      <c r="A180" s="157">
        <v>7</v>
      </c>
      <c r="B180" s="157" t="str">
        <f>TEXT(투자전략!$G$1+6, "[$-ko-KR]yyyy.mm.dd")</f>
        <v>2021.05.07</v>
      </c>
      <c r="C180" s="134">
        <f t="shared" ca="1" si="52"/>
        <v>2850000</v>
      </c>
      <c r="D180" s="138">
        <f t="shared" ca="1" si="53"/>
        <v>2678763.1230948311</v>
      </c>
      <c r="E180" s="73">
        <f t="shared" ca="1" si="54"/>
        <v>-6.0083114703568037E-2</v>
      </c>
      <c r="F180" s="136">
        <f t="shared" ca="1" si="55"/>
        <v>-171236.87690516893</v>
      </c>
      <c r="G180" s="138">
        <f t="shared" ca="1" si="56"/>
        <v>2739890.416816175</v>
      </c>
      <c r="H180" s="73">
        <f t="shared" ca="1" si="57"/>
        <v>-3.8634941468008686E-2</v>
      </c>
      <c r="I180" s="136">
        <f t="shared" ca="1" si="58"/>
        <v>-110109.58318382471</v>
      </c>
      <c r="J180" s="138">
        <f t="shared" ca="1" si="59"/>
        <v>2826150.8225448746</v>
      </c>
      <c r="K180" s="73">
        <f t="shared" ca="1" si="60"/>
        <v>-8.368132440394787E-3</v>
      </c>
      <c r="L180" s="136">
        <f t="shared" ca="1" si="61"/>
        <v>-23849.177455125144</v>
      </c>
      <c r="M180" s="138">
        <f t="shared" ca="1" si="62"/>
        <v>2855094.2695993325</v>
      </c>
      <c r="N180" s="73">
        <f t="shared" ca="1" si="63"/>
        <v>1.7874630173095435E-3</v>
      </c>
      <c r="O180" s="136">
        <f t="shared" ca="1" si="64"/>
        <v>5094.2695993321886</v>
      </c>
    </row>
    <row r="181" spans="1:15" ht="16.5" customHeight="1">
      <c r="A181" s="156">
        <v>8</v>
      </c>
      <c r="B181" s="156" t="str">
        <f>TEXT(투자전략!$G$1+7, "[$-ko-KR]yyyy.mm.dd")</f>
        <v>2021.05.08</v>
      </c>
      <c r="C181" s="133">
        <f t="shared" ca="1" si="52"/>
        <v>2850000</v>
      </c>
      <c r="D181" s="141">
        <f t="shared" ca="1" si="53"/>
        <v>2789719.4245896782</v>
      </c>
      <c r="E181" s="72">
        <f t="shared" ca="1" si="54"/>
        <v>-2.115107909134107E-2</v>
      </c>
      <c r="F181" s="140">
        <f t="shared" ca="1" si="55"/>
        <v>-60280.575410322046</v>
      </c>
      <c r="G181" s="141">
        <f t="shared" ca="1" si="56"/>
        <v>2800294.7024498149</v>
      </c>
      <c r="H181" s="72">
        <f t="shared" ca="1" si="57"/>
        <v>-1.7440455280766792E-2</v>
      </c>
      <c r="I181" s="140">
        <f t="shared" ca="1" si="58"/>
        <v>-49705.297550185358</v>
      </c>
      <c r="J181" s="141">
        <f t="shared" ca="1" si="59"/>
        <v>2803924.1807414507</v>
      </c>
      <c r="K181" s="72">
        <f t="shared" ca="1" si="60"/>
        <v>-1.6166954125806803E-2</v>
      </c>
      <c r="L181" s="140">
        <f t="shared" ca="1" si="61"/>
        <v>-46075.819258549382</v>
      </c>
      <c r="M181" s="141">
        <f t="shared" ca="1" si="62"/>
        <v>2795416.6521626255</v>
      </c>
      <c r="N181" s="72">
        <f t="shared" ca="1" si="63"/>
        <v>-1.9152051872762893E-2</v>
      </c>
      <c r="O181" s="140">
        <f t="shared" ca="1" si="64"/>
        <v>-54583.347837374262</v>
      </c>
    </row>
    <row r="182" spans="1:15" ht="16.5" customHeight="1">
      <c r="A182" s="155">
        <v>9</v>
      </c>
      <c r="B182" s="155" t="str">
        <f>TEXT(투자전략!$G$1+8, "[$-ko-KR]yyyy.mm.dd")</f>
        <v>2021.05.09</v>
      </c>
      <c r="C182" s="134">
        <f t="shared" ca="1" si="52"/>
        <v>2850000</v>
      </c>
      <c r="D182" s="138">
        <f t="shared" ca="1" si="53"/>
        <v>2766756.586740783</v>
      </c>
      <c r="E182" s="73">
        <f t="shared" ca="1" si="54"/>
        <v>-2.920821517867268E-2</v>
      </c>
      <c r="F182" s="136">
        <f t="shared" ca="1" si="55"/>
        <v>-83243.413259217152</v>
      </c>
      <c r="G182" s="138">
        <f t="shared" ca="1" si="56"/>
        <v>2729982.7965285233</v>
      </c>
      <c r="H182" s="73">
        <f t="shared" ca="1" si="57"/>
        <v>-4.2111299463675984E-2</v>
      </c>
      <c r="I182" s="136">
        <f t="shared" ca="1" si="58"/>
        <v>-120017.20347147653</v>
      </c>
      <c r="J182" s="138">
        <f t="shared" ca="1" si="59"/>
        <v>2693559.3527347138</v>
      </c>
      <c r="K182" s="73">
        <f t="shared" ca="1" si="60"/>
        <v>-5.489145518080224E-2</v>
      </c>
      <c r="L182" s="136">
        <f t="shared" ca="1" si="61"/>
        <v>-156440.64726528642</v>
      </c>
      <c r="M182" s="138">
        <f t="shared" ca="1" si="62"/>
        <v>2709175.3991925204</v>
      </c>
      <c r="N182" s="73">
        <f t="shared" ca="1" si="63"/>
        <v>-4.9412140634203336E-2</v>
      </c>
      <c r="O182" s="136">
        <f t="shared" ca="1" si="64"/>
        <v>-140824.6008074795</v>
      </c>
    </row>
    <row r="183" spans="1:15" ht="16.5" customHeight="1">
      <c r="A183" s="155">
        <v>10</v>
      </c>
      <c r="B183" s="155" t="str">
        <f>TEXT(투자전략!$G$1+9, "[$-ko-KR]yyyy.mm.dd")</f>
        <v>2021.05.10</v>
      </c>
      <c r="C183" s="134">
        <f t="shared" ca="1" si="52"/>
        <v>2850000</v>
      </c>
      <c r="D183" s="138">
        <f t="shared" ca="1" si="53"/>
        <v>2866664.89846153</v>
      </c>
      <c r="E183" s="73">
        <f t="shared" ca="1" si="54"/>
        <v>5.8473327935194466E-3</v>
      </c>
      <c r="F183" s="136">
        <f t="shared" ca="1" si="55"/>
        <v>16664.898461530418</v>
      </c>
      <c r="G183" s="138">
        <f t="shared" ca="1" si="56"/>
        <v>2882496.0997115215</v>
      </c>
      <c r="H183" s="73">
        <f t="shared" ca="1" si="57"/>
        <v>1.1402140249656689E-2</v>
      </c>
      <c r="I183" s="136">
        <f t="shared" ca="1" si="58"/>
        <v>32496.099711521561</v>
      </c>
      <c r="J183" s="138">
        <f t="shared" ca="1" si="59"/>
        <v>2880730.1903196112</v>
      </c>
      <c r="K183" s="73">
        <f t="shared" ca="1" si="60"/>
        <v>1.0782522919161781E-2</v>
      </c>
      <c r="L183" s="136">
        <f t="shared" ca="1" si="61"/>
        <v>30730.19031961108</v>
      </c>
      <c r="M183" s="138">
        <f t="shared" ca="1" si="62"/>
        <v>2849800.1047053104</v>
      </c>
      <c r="N183" s="73">
        <f t="shared" ca="1" si="63"/>
        <v>-7.0138699891043936E-5</v>
      </c>
      <c r="O183" s="136">
        <f t="shared" ca="1" si="64"/>
        <v>-199.89529468947774</v>
      </c>
    </row>
    <row r="184" spans="1:15" ht="16.5" customHeight="1">
      <c r="A184" s="155">
        <v>11</v>
      </c>
      <c r="B184" s="155" t="str">
        <f>TEXT(투자전략!$G$1+10, "[$-ko-KR]yyyy.mm.dd")</f>
        <v>2021.05.11</v>
      </c>
      <c r="C184" s="134">
        <f t="shared" ca="1" si="52"/>
        <v>2850000</v>
      </c>
      <c r="D184" s="138">
        <f t="shared" ca="1" si="53"/>
        <v>2706552.2955798027</v>
      </c>
      <c r="E184" s="73">
        <f t="shared" ca="1" si="54"/>
        <v>-5.0332527866735768E-2</v>
      </c>
      <c r="F184" s="136">
        <f t="shared" ca="1" si="55"/>
        <v>-143447.70442019694</v>
      </c>
      <c r="G184" s="138">
        <f t="shared" ca="1" si="56"/>
        <v>2903471.9913226529</v>
      </c>
      <c r="H184" s="73">
        <f t="shared" ca="1" si="57"/>
        <v>1.8762102218474824E-2</v>
      </c>
      <c r="I184" s="136">
        <f t="shared" ca="1" si="58"/>
        <v>53471.991322653252</v>
      </c>
      <c r="J184" s="138">
        <f t="shared" ca="1" si="59"/>
        <v>2961246.1319350125</v>
      </c>
      <c r="K184" s="73">
        <f t="shared" ca="1" si="60"/>
        <v>3.9033730503513053E-2</v>
      </c>
      <c r="L184" s="136">
        <f t="shared" ca="1" si="61"/>
        <v>111246.13193501218</v>
      </c>
      <c r="M184" s="138">
        <f t="shared" ca="1" si="62"/>
        <v>2946725.8601111178</v>
      </c>
      <c r="N184" s="73">
        <f t="shared" ca="1" si="63"/>
        <v>3.3938898284602684E-2</v>
      </c>
      <c r="O184" s="136">
        <f t="shared" ca="1" si="64"/>
        <v>96725.860111117683</v>
      </c>
    </row>
    <row r="185" spans="1:15" ht="16.5" customHeight="1">
      <c r="A185" s="155">
        <v>12</v>
      </c>
      <c r="B185" s="155" t="str">
        <f>TEXT(투자전략!$G$1+11, "[$-ko-KR]yyyy.mm.dd")</f>
        <v>2021.05.12</v>
      </c>
      <c r="C185" s="134">
        <f t="shared" ca="1" si="52"/>
        <v>2850000</v>
      </c>
      <c r="D185" s="138">
        <f t="shared" ca="1" si="53"/>
        <v>2915125.8510363246</v>
      </c>
      <c r="E185" s="73">
        <f t="shared" ca="1" si="54"/>
        <v>2.285117580221914E-2</v>
      </c>
      <c r="F185" s="136">
        <f t="shared" ca="1" si="55"/>
        <v>65125.851036324551</v>
      </c>
      <c r="G185" s="138">
        <f t="shared" ca="1" si="56"/>
        <v>2895158.5219843471</v>
      </c>
      <c r="H185" s="73">
        <f t="shared" ca="1" si="57"/>
        <v>1.5845095433104094E-2</v>
      </c>
      <c r="I185" s="136">
        <f t="shared" ca="1" si="58"/>
        <v>45158.521984346677</v>
      </c>
      <c r="J185" s="138">
        <f t="shared" ca="1" si="59"/>
        <v>2929580.0970718772</v>
      </c>
      <c r="K185" s="73">
        <f t="shared" ca="1" si="60"/>
        <v>2.7922841077851691E-2</v>
      </c>
      <c r="L185" s="136">
        <f t="shared" ca="1" si="61"/>
        <v>79580.097071877331</v>
      </c>
      <c r="M185" s="138">
        <f t="shared" ca="1" si="62"/>
        <v>2807895.1299300469</v>
      </c>
      <c r="N185" s="73">
        <f t="shared" ca="1" si="63"/>
        <v>-1.4773638621036252E-2</v>
      </c>
      <c r="O185" s="136">
        <f t="shared" ca="1" si="64"/>
        <v>-42104.870069953344</v>
      </c>
    </row>
    <row r="186" spans="1:15" ht="16.5" customHeight="1">
      <c r="A186" s="155">
        <v>13</v>
      </c>
      <c r="B186" s="155" t="str">
        <f>TEXT(투자전략!$G$1+12, "[$-ko-KR]yyyy.mm.dd")</f>
        <v>2021.05.13</v>
      </c>
      <c r="C186" s="134">
        <f t="shared" ca="1" si="52"/>
        <v>2850000</v>
      </c>
      <c r="D186" s="138">
        <f t="shared" ca="1" si="53"/>
        <v>2586766.115294049</v>
      </c>
      <c r="E186" s="73">
        <f t="shared" ca="1" si="54"/>
        <v>-9.2362766563491627E-2</v>
      </c>
      <c r="F186" s="136">
        <f t="shared" ca="1" si="55"/>
        <v>-263233.88470595115</v>
      </c>
      <c r="G186" s="138">
        <f t="shared" ca="1" si="56"/>
        <v>2489144.9414303238</v>
      </c>
      <c r="H186" s="73">
        <f t="shared" ca="1" si="57"/>
        <v>-0.12661581002444788</v>
      </c>
      <c r="I186" s="136">
        <f t="shared" ca="1" si="58"/>
        <v>-360855.05856967648</v>
      </c>
      <c r="J186" s="138">
        <f t="shared" ca="1" si="59"/>
        <v>2530153.0040820497</v>
      </c>
      <c r="K186" s="73">
        <f t="shared" ca="1" si="60"/>
        <v>-0.11222701611156145</v>
      </c>
      <c r="L186" s="136">
        <f t="shared" ca="1" si="61"/>
        <v>-319846.99591795017</v>
      </c>
      <c r="M186" s="138">
        <f t="shared" ca="1" si="62"/>
        <v>2530985.2391216476</v>
      </c>
      <c r="N186" s="73">
        <f t="shared" ca="1" si="63"/>
        <v>-0.11193500381696571</v>
      </c>
      <c r="O186" s="136">
        <f t="shared" ca="1" si="64"/>
        <v>-319014.76087835233</v>
      </c>
    </row>
    <row r="187" spans="1:15" ht="16.5" customHeight="1" thickBot="1">
      <c r="A187" s="157">
        <v>14</v>
      </c>
      <c r="B187" s="157" t="str">
        <f>TEXT(투자전략!$G$1+13, "[$-ko-KR]yyyy.mm.dd")</f>
        <v>2021.05.14</v>
      </c>
      <c r="C187" s="135">
        <f t="shared" ca="1" si="52"/>
        <v>3000000</v>
      </c>
      <c r="D187" s="139">
        <f t="shared" ca="1" si="53"/>
        <v>3053104.9102000999</v>
      </c>
      <c r="E187" s="75">
        <f t="shared" ca="1" si="54"/>
        <v>1.7701636733366718E-2</v>
      </c>
      <c r="F187" s="137">
        <f t="shared" ca="1" si="55"/>
        <v>53104.910200100145</v>
      </c>
      <c r="G187" s="139">
        <f t="shared" ca="1" si="56"/>
        <v>3058399.4858961492</v>
      </c>
      <c r="H187" s="75">
        <f t="shared" ca="1" si="57"/>
        <v>1.9466495298716413E-2</v>
      </c>
      <c r="I187" s="137">
        <f t="shared" ca="1" si="58"/>
        <v>58399.485896149228</v>
      </c>
      <c r="J187" s="139">
        <f t="shared" ca="1" si="59"/>
        <v>3061322.9687450198</v>
      </c>
      <c r="K187" s="75">
        <f t="shared" ca="1" si="60"/>
        <v>2.0440989581673286E-2</v>
      </c>
      <c r="L187" s="137">
        <f t="shared" ca="1" si="61"/>
        <v>61322.968745019854</v>
      </c>
      <c r="M187" s="139">
        <f t="shared" ca="1" si="62"/>
        <v>3063744.0519563295</v>
      </c>
      <c r="N187" s="75">
        <f t="shared" ca="1" si="63"/>
        <v>2.1248017318776465E-2</v>
      </c>
      <c r="O187" s="137">
        <f t="shared" ca="1" si="64"/>
        <v>63744.051956329371</v>
      </c>
    </row>
    <row r="188" spans="1:15" ht="16.5" customHeight="1">
      <c r="A188" s="156">
        <v>15</v>
      </c>
      <c r="B188" s="156" t="str">
        <f>TEXT(투자전략!$G$1+14, "[$-ko-KR]yyyy.mm.dd")</f>
        <v>2021.05.15</v>
      </c>
      <c r="C188" s="134">
        <f t="shared" ca="1" si="52"/>
        <v>2850000</v>
      </c>
      <c r="D188" s="138">
        <f t="shared" ca="1" si="53"/>
        <v>2873410.413879788</v>
      </c>
      <c r="E188" s="73">
        <f t="shared" ca="1" si="54"/>
        <v>8.2141803086973747E-3</v>
      </c>
      <c r="F188" s="136">
        <f t="shared" ca="1" si="55"/>
        <v>23410.413879787513</v>
      </c>
      <c r="G188" s="138">
        <f t="shared" ca="1" si="56"/>
        <v>2769910.5242907144</v>
      </c>
      <c r="H188" s="73">
        <f t="shared" ca="1" si="57"/>
        <v>-2.8101570424310673E-2</v>
      </c>
      <c r="I188" s="136">
        <f t="shared" ca="1" si="58"/>
        <v>-80089.475709285427</v>
      </c>
      <c r="J188" s="138">
        <f t="shared" ca="1" si="59"/>
        <v>2793692.1359499353</v>
      </c>
      <c r="K188" s="73">
        <f t="shared" ca="1" si="60"/>
        <v>-1.9757145280724427E-2</v>
      </c>
      <c r="L188" s="136">
        <f t="shared" ca="1" si="61"/>
        <v>-56307.864050064592</v>
      </c>
      <c r="M188" s="138">
        <f t="shared" ca="1" si="62"/>
        <v>2798966.5248699076</v>
      </c>
      <c r="N188" s="73">
        <f t="shared" ca="1" si="63"/>
        <v>-1.7906482501786732E-2</v>
      </c>
      <c r="O188" s="136">
        <f t="shared" ca="1" si="64"/>
        <v>-51033.475130092178</v>
      </c>
    </row>
    <row r="189" spans="1:15" ht="16.5" customHeight="1">
      <c r="A189" s="155">
        <v>16</v>
      </c>
      <c r="B189" s="155" t="str">
        <f>TEXT(투자전략!$G$1+15, "[$-ko-KR]yyyy.mm.dd")</f>
        <v>2021.05.16</v>
      </c>
      <c r="C189" s="134">
        <f t="shared" ca="1" si="52"/>
        <v>2850000</v>
      </c>
      <c r="D189" s="138">
        <f t="shared" ca="1" si="53"/>
        <v>2850000</v>
      </c>
      <c r="E189" s="73">
        <f t="shared" ca="1" si="54"/>
        <v>0</v>
      </c>
      <c r="F189" s="136">
        <f t="shared" ca="1" si="55"/>
        <v>0</v>
      </c>
      <c r="G189" s="138">
        <f t="shared" ca="1" si="56"/>
        <v>2850000</v>
      </c>
      <c r="H189" s="73">
        <f t="shared" ca="1" si="57"/>
        <v>0</v>
      </c>
      <c r="I189" s="136">
        <f t="shared" ca="1" si="58"/>
        <v>0</v>
      </c>
      <c r="J189" s="138">
        <f t="shared" ca="1" si="59"/>
        <v>2850000</v>
      </c>
      <c r="K189" s="73">
        <f t="shared" ca="1" si="60"/>
        <v>0</v>
      </c>
      <c r="L189" s="136">
        <f t="shared" ca="1" si="61"/>
        <v>0</v>
      </c>
      <c r="M189" s="138">
        <f t="shared" ca="1" si="62"/>
        <v>2850000</v>
      </c>
      <c r="N189" s="73">
        <f t="shared" ca="1" si="63"/>
        <v>0</v>
      </c>
      <c r="O189" s="136">
        <f t="shared" ca="1" si="64"/>
        <v>0</v>
      </c>
    </row>
    <row r="190" spans="1:15" ht="16.5" customHeight="1">
      <c r="A190" s="155">
        <v>17</v>
      </c>
      <c r="B190" s="155" t="str">
        <f>TEXT(투자전략!$G$1+16, "[$-ko-KR]yyyy.mm.dd")</f>
        <v>2021.05.17</v>
      </c>
      <c r="C190" s="134" t="str">
        <f t="shared" ca="1" si="52"/>
        <v/>
      </c>
      <c r="D190" s="138" t="str">
        <f t="shared" ca="1" si="53"/>
        <v/>
      </c>
      <c r="E190" s="73" t="str">
        <f t="shared" ca="1" si="54"/>
        <v/>
      </c>
      <c r="F190" s="136" t="str">
        <f t="shared" ca="1" si="55"/>
        <v/>
      </c>
      <c r="G190" s="138" t="str">
        <f t="shared" ca="1" si="56"/>
        <v/>
      </c>
      <c r="H190" s="73" t="str">
        <f t="shared" ca="1" si="57"/>
        <v/>
      </c>
      <c r="I190" s="136" t="str">
        <f t="shared" ca="1" si="58"/>
        <v/>
      </c>
      <c r="J190" s="138" t="str">
        <f t="shared" ca="1" si="59"/>
        <v/>
      </c>
      <c r="K190" s="73" t="str">
        <f t="shared" ca="1" si="60"/>
        <v/>
      </c>
      <c r="L190" s="136" t="str">
        <f t="shared" ca="1" si="61"/>
        <v/>
      </c>
      <c r="M190" s="138" t="str">
        <f t="shared" ca="1" si="62"/>
        <v/>
      </c>
      <c r="N190" s="73" t="str">
        <f t="shared" ca="1" si="63"/>
        <v/>
      </c>
      <c r="O190" s="136" t="str">
        <f t="shared" ca="1" si="64"/>
        <v/>
      </c>
    </row>
    <row r="191" spans="1:15" ht="16.5" customHeight="1">
      <c r="A191" s="155">
        <v>18</v>
      </c>
      <c r="B191" s="155" t="str">
        <f>TEXT(투자전략!$G$1+17, "[$-ko-KR]yyyy.mm.dd")</f>
        <v>2021.05.18</v>
      </c>
      <c r="C191" s="134" t="str">
        <f t="shared" ca="1" si="52"/>
        <v/>
      </c>
      <c r="D191" s="138" t="str">
        <f t="shared" ca="1" si="53"/>
        <v/>
      </c>
      <c r="E191" s="73" t="str">
        <f t="shared" ca="1" si="54"/>
        <v/>
      </c>
      <c r="F191" s="136" t="str">
        <f t="shared" ca="1" si="55"/>
        <v/>
      </c>
      <c r="G191" s="138" t="str">
        <f t="shared" ca="1" si="56"/>
        <v/>
      </c>
      <c r="H191" s="73" t="str">
        <f t="shared" ca="1" si="57"/>
        <v/>
      </c>
      <c r="I191" s="136" t="str">
        <f t="shared" ca="1" si="58"/>
        <v/>
      </c>
      <c r="J191" s="138" t="str">
        <f t="shared" ca="1" si="59"/>
        <v/>
      </c>
      <c r="K191" s="73" t="str">
        <f t="shared" ca="1" si="60"/>
        <v/>
      </c>
      <c r="L191" s="136" t="str">
        <f t="shared" ca="1" si="61"/>
        <v/>
      </c>
      <c r="M191" s="138" t="str">
        <f t="shared" ca="1" si="62"/>
        <v/>
      </c>
      <c r="N191" s="73" t="str">
        <f t="shared" ca="1" si="63"/>
        <v/>
      </c>
      <c r="O191" s="136" t="str">
        <f t="shared" ca="1" si="64"/>
        <v/>
      </c>
    </row>
    <row r="192" spans="1:15" ht="16.5" customHeight="1">
      <c r="A192" s="155">
        <v>19</v>
      </c>
      <c r="B192" s="155" t="str">
        <f>TEXT(투자전략!$G$1+18, "[$-ko-KR]yyyy.mm.dd")</f>
        <v>2021.05.19</v>
      </c>
      <c r="C192" s="134" t="str">
        <f t="shared" ca="1" si="52"/>
        <v/>
      </c>
      <c r="D192" s="138" t="str">
        <f t="shared" ca="1" si="53"/>
        <v/>
      </c>
      <c r="E192" s="73" t="str">
        <f t="shared" ca="1" si="54"/>
        <v/>
      </c>
      <c r="F192" s="136" t="str">
        <f t="shared" ca="1" si="55"/>
        <v/>
      </c>
      <c r="G192" s="138" t="str">
        <f t="shared" ca="1" si="56"/>
        <v/>
      </c>
      <c r="H192" s="73" t="str">
        <f t="shared" ca="1" si="57"/>
        <v/>
      </c>
      <c r="I192" s="136" t="str">
        <f t="shared" ca="1" si="58"/>
        <v/>
      </c>
      <c r="J192" s="138" t="str">
        <f t="shared" ca="1" si="59"/>
        <v/>
      </c>
      <c r="K192" s="73" t="str">
        <f t="shared" ca="1" si="60"/>
        <v/>
      </c>
      <c r="L192" s="136" t="str">
        <f t="shared" ca="1" si="61"/>
        <v/>
      </c>
      <c r="M192" s="138" t="str">
        <f t="shared" ca="1" si="62"/>
        <v/>
      </c>
      <c r="N192" s="73" t="str">
        <f t="shared" ca="1" si="63"/>
        <v/>
      </c>
      <c r="O192" s="136" t="str">
        <f t="shared" ca="1" si="64"/>
        <v/>
      </c>
    </row>
    <row r="193" spans="1:15" ht="16.5" customHeight="1">
      <c r="A193" s="155">
        <v>20</v>
      </c>
      <c r="B193" s="155" t="str">
        <f>TEXT(투자전략!$G$1+19, "[$-ko-KR]yyyy.mm.dd")</f>
        <v>2021.05.20</v>
      </c>
      <c r="C193" s="134" t="str">
        <f t="shared" ca="1" si="52"/>
        <v/>
      </c>
      <c r="D193" s="138" t="str">
        <f t="shared" ca="1" si="53"/>
        <v/>
      </c>
      <c r="E193" s="73" t="str">
        <f t="shared" ca="1" si="54"/>
        <v/>
      </c>
      <c r="F193" s="136" t="str">
        <f t="shared" ca="1" si="55"/>
        <v/>
      </c>
      <c r="G193" s="138" t="str">
        <f t="shared" ca="1" si="56"/>
        <v/>
      </c>
      <c r="H193" s="73" t="str">
        <f t="shared" ca="1" si="57"/>
        <v/>
      </c>
      <c r="I193" s="136" t="str">
        <f t="shared" ca="1" si="58"/>
        <v/>
      </c>
      <c r="J193" s="138" t="str">
        <f t="shared" ca="1" si="59"/>
        <v/>
      </c>
      <c r="K193" s="73" t="str">
        <f t="shared" ca="1" si="60"/>
        <v/>
      </c>
      <c r="L193" s="136" t="str">
        <f t="shared" ca="1" si="61"/>
        <v/>
      </c>
      <c r="M193" s="138" t="str">
        <f t="shared" ca="1" si="62"/>
        <v/>
      </c>
      <c r="N193" s="73" t="str">
        <f t="shared" ca="1" si="63"/>
        <v/>
      </c>
      <c r="O193" s="136" t="str">
        <f t="shared" ca="1" si="64"/>
        <v/>
      </c>
    </row>
    <row r="194" spans="1:15" ht="16.5" customHeight="1" thickBot="1">
      <c r="A194" s="157">
        <v>21</v>
      </c>
      <c r="B194" s="157" t="str">
        <f>TEXT(투자전략!$G$1+20, "[$-ko-KR]yyyy.mm.dd")</f>
        <v>2021.05.21</v>
      </c>
      <c r="C194" s="134" t="str">
        <f t="shared" ca="1" si="52"/>
        <v/>
      </c>
      <c r="D194" s="138" t="str">
        <f t="shared" ca="1" si="53"/>
        <v/>
      </c>
      <c r="E194" s="73" t="str">
        <f t="shared" ca="1" si="54"/>
        <v/>
      </c>
      <c r="F194" s="136" t="str">
        <f t="shared" ca="1" si="55"/>
        <v/>
      </c>
      <c r="G194" s="138" t="str">
        <f t="shared" ca="1" si="56"/>
        <v/>
      </c>
      <c r="H194" s="73" t="str">
        <f t="shared" ca="1" si="57"/>
        <v/>
      </c>
      <c r="I194" s="136" t="str">
        <f t="shared" ca="1" si="58"/>
        <v/>
      </c>
      <c r="J194" s="138" t="str">
        <f t="shared" ca="1" si="59"/>
        <v/>
      </c>
      <c r="K194" s="73" t="str">
        <f t="shared" ca="1" si="60"/>
        <v/>
      </c>
      <c r="L194" s="136" t="str">
        <f t="shared" ca="1" si="61"/>
        <v/>
      </c>
      <c r="M194" s="138" t="str">
        <f t="shared" ca="1" si="62"/>
        <v/>
      </c>
      <c r="N194" s="73" t="str">
        <f t="shared" ca="1" si="63"/>
        <v/>
      </c>
      <c r="O194" s="136" t="str">
        <f t="shared" ca="1" si="64"/>
        <v/>
      </c>
    </row>
    <row r="195" spans="1:15" ht="16.5" customHeight="1">
      <c r="A195" s="156">
        <v>22</v>
      </c>
      <c r="B195" s="156" t="str">
        <f>TEXT(투자전략!$G$1+21, "[$-ko-KR]yyyy.mm.dd")</f>
        <v>2021.05.22</v>
      </c>
      <c r="C195" s="133" t="str">
        <f t="shared" ca="1" si="52"/>
        <v/>
      </c>
      <c r="D195" s="141" t="str">
        <f t="shared" ca="1" si="53"/>
        <v/>
      </c>
      <c r="E195" s="72" t="str">
        <f t="shared" ca="1" si="54"/>
        <v/>
      </c>
      <c r="F195" s="140" t="str">
        <f t="shared" ca="1" si="55"/>
        <v/>
      </c>
      <c r="G195" s="141" t="str">
        <f t="shared" ca="1" si="56"/>
        <v/>
      </c>
      <c r="H195" s="72" t="str">
        <f t="shared" ca="1" si="57"/>
        <v/>
      </c>
      <c r="I195" s="140" t="str">
        <f t="shared" ca="1" si="58"/>
        <v/>
      </c>
      <c r="J195" s="141" t="str">
        <f t="shared" ca="1" si="59"/>
        <v/>
      </c>
      <c r="K195" s="72" t="str">
        <f t="shared" ca="1" si="60"/>
        <v/>
      </c>
      <c r="L195" s="140" t="str">
        <f t="shared" ca="1" si="61"/>
        <v/>
      </c>
      <c r="M195" s="141" t="str">
        <f t="shared" ca="1" si="62"/>
        <v/>
      </c>
      <c r="N195" s="72" t="str">
        <f t="shared" ca="1" si="63"/>
        <v/>
      </c>
      <c r="O195" s="140" t="str">
        <f t="shared" ca="1" si="64"/>
        <v/>
      </c>
    </row>
    <row r="196" spans="1:15" ht="16.5" customHeight="1">
      <c r="A196" s="155">
        <v>23</v>
      </c>
      <c r="B196" s="155" t="str">
        <f>TEXT(투자전략!$G$1+22, "[$-ko-KR]yyyy.mm.dd")</f>
        <v>2021.05.23</v>
      </c>
      <c r="C196" s="134" t="str">
        <f t="shared" ca="1" si="52"/>
        <v/>
      </c>
      <c r="D196" s="138" t="str">
        <f t="shared" ca="1" si="53"/>
        <v/>
      </c>
      <c r="E196" s="73" t="str">
        <f t="shared" ca="1" si="54"/>
        <v/>
      </c>
      <c r="F196" s="136" t="str">
        <f t="shared" ca="1" si="55"/>
        <v/>
      </c>
      <c r="G196" s="138" t="str">
        <f t="shared" ca="1" si="56"/>
        <v/>
      </c>
      <c r="H196" s="73" t="str">
        <f t="shared" ca="1" si="57"/>
        <v/>
      </c>
      <c r="I196" s="136" t="str">
        <f t="shared" ca="1" si="58"/>
        <v/>
      </c>
      <c r="J196" s="138" t="str">
        <f t="shared" ca="1" si="59"/>
        <v/>
      </c>
      <c r="K196" s="73" t="str">
        <f t="shared" ca="1" si="60"/>
        <v/>
      </c>
      <c r="L196" s="136" t="str">
        <f t="shared" ca="1" si="61"/>
        <v/>
      </c>
      <c r="M196" s="138" t="str">
        <f t="shared" ca="1" si="62"/>
        <v/>
      </c>
      <c r="N196" s="73" t="str">
        <f t="shared" ca="1" si="63"/>
        <v/>
      </c>
      <c r="O196" s="136" t="str">
        <f t="shared" ca="1" si="64"/>
        <v/>
      </c>
    </row>
    <row r="197" spans="1:15" ht="16.5" customHeight="1">
      <c r="A197" s="155">
        <v>24</v>
      </c>
      <c r="B197" s="155" t="str">
        <f>TEXT(투자전략!$G$1+23, "[$-ko-KR]yyyy.mm.dd")</f>
        <v>2021.05.24</v>
      </c>
      <c r="C197" s="134" t="str">
        <f t="shared" ca="1" si="52"/>
        <v/>
      </c>
      <c r="D197" s="138" t="str">
        <f t="shared" ca="1" si="53"/>
        <v/>
      </c>
      <c r="E197" s="73" t="str">
        <f t="shared" ca="1" si="54"/>
        <v/>
      </c>
      <c r="F197" s="136" t="str">
        <f t="shared" ca="1" si="55"/>
        <v/>
      </c>
      <c r="G197" s="138" t="str">
        <f t="shared" ca="1" si="56"/>
        <v/>
      </c>
      <c r="H197" s="73" t="str">
        <f t="shared" ca="1" si="57"/>
        <v/>
      </c>
      <c r="I197" s="136" t="str">
        <f t="shared" ca="1" si="58"/>
        <v/>
      </c>
      <c r="J197" s="138" t="str">
        <f t="shared" ca="1" si="59"/>
        <v/>
      </c>
      <c r="K197" s="73" t="str">
        <f t="shared" ca="1" si="60"/>
        <v/>
      </c>
      <c r="L197" s="136" t="str">
        <f t="shared" ca="1" si="61"/>
        <v/>
      </c>
      <c r="M197" s="138" t="str">
        <f t="shared" ca="1" si="62"/>
        <v/>
      </c>
      <c r="N197" s="73" t="str">
        <f t="shared" ca="1" si="63"/>
        <v/>
      </c>
      <c r="O197" s="136" t="str">
        <f t="shared" ca="1" si="64"/>
        <v/>
      </c>
    </row>
    <row r="198" spans="1:15" ht="16.5" customHeight="1">
      <c r="A198" s="155">
        <v>25</v>
      </c>
      <c r="B198" s="155" t="str">
        <f>TEXT(투자전략!$G$1+24, "[$-ko-KR]yyyy.mm.dd")</f>
        <v>2021.05.25</v>
      </c>
      <c r="C198" s="134" t="str">
        <f t="shared" ca="1" si="52"/>
        <v/>
      </c>
      <c r="D198" s="138" t="str">
        <f t="shared" ca="1" si="53"/>
        <v/>
      </c>
      <c r="E198" s="73" t="str">
        <f t="shared" ca="1" si="54"/>
        <v/>
      </c>
      <c r="F198" s="136" t="str">
        <f t="shared" ca="1" si="55"/>
        <v/>
      </c>
      <c r="G198" s="138" t="str">
        <f t="shared" ca="1" si="56"/>
        <v/>
      </c>
      <c r="H198" s="73" t="str">
        <f t="shared" ca="1" si="57"/>
        <v/>
      </c>
      <c r="I198" s="136" t="str">
        <f t="shared" ca="1" si="58"/>
        <v/>
      </c>
      <c r="J198" s="138" t="str">
        <f t="shared" ca="1" si="59"/>
        <v/>
      </c>
      <c r="K198" s="73" t="str">
        <f t="shared" ca="1" si="60"/>
        <v/>
      </c>
      <c r="L198" s="136" t="str">
        <f t="shared" ca="1" si="61"/>
        <v/>
      </c>
      <c r="M198" s="138" t="str">
        <f t="shared" ca="1" si="62"/>
        <v/>
      </c>
      <c r="N198" s="73" t="str">
        <f t="shared" ca="1" si="63"/>
        <v/>
      </c>
      <c r="O198" s="136" t="str">
        <f t="shared" ca="1" si="64"/>
        <v/>
      </c>
    </row>
    <row r="199" spans="1:15" ht="16.5" customHeight="1">
      <c r="A199" s="155">
        <v>26</v>
      </c>
      <c r="B199" s="155" t="str">
        <f>TEXT(투자전략!$G$1+25, "[$-ko-KR]yyyy.mm.dd")</f>
        <v>2021.05.26</v>
      </c>
      <c r="C199" s="134" t="str">
        <f t="shared" ca="1" si="52"/>
        <v/>
      </c>
      <c r="D199" s="138" t="str">
        <f t="shared" ca="1" si="53"/>
        <v/>
      </c>
      <c r="E199" s="73" t="str">
        <f t="shared" ca="1" si="54"/>
        <v/>
      </c>
      <c r="F199" s="136" t="str">
        <f t="shared" ca="1" si="55"/>
        <v/>
      </c>
      <c r="G199" s="138" t="str">
        <f t="shared" ca="1" si="56"/>
        <v/>
      </c>
      <c r="H199" s="73" t="str">
        <f t="shared" ca="1" si="57"/>
        <v/>
      </c>
      <c r="I199" s="136" t="str">
        <f t="shared" ca="1" si="58"/>
        <v/>
      </c>
      <c r="J199" s="138" t="str">
        <f t="shared" ca="1" si="59"/>
        <v/>
      </c>
      <c r="K199" s="73" t="str">
        <f t="shared" ca="1" si="60"/>
        <v/>
      </c>
      <c r="L199" s="136" t="str">
        <f t="shared" ca="1" si="61"/>
        <v/>
      </c>
      <c r="M199" s="138" t="str">
        <f t="shared" ca="1" si="62"/>
        <v/>
      </c>
      <c r="N199" s="73" t="str">
        <f t="shared" ca="1" si="63"/>
        <v/>
      </c>
      <c r="O199" s="136" t="str">
        <f t="shared" ca="1" si="64"/>
        <v/>
      </c>
    </row>
    <row r="200" spans="1:15" ht="16.5" customHeight="1">
      <c r="A200" s="155">
        <v>27</v>
      </c>
      <c r="B200" s="155" t="str">
        <f>TEXT(투자전략!$G$1+26, "[$-ko-KR]yyyy.mm.dd")</f>
        <v>2021.05.27</v>
      </c>
      <c r="C200" s="134" t="str">
        <f t="shared" ca="1" si="52"/>
        <v/>
      </c>
      <c r="D200" s="138" t="str">
        <f t="shared" ca="1" si="53"/>
        <v/>
      </c>
      <c r="E200" s="73" t="str">
        <f t="shared" ca="1" si="54"/>
        <v/>
      </c>
      <c r="F200" s="136" t="str">
        <f t="shared" ca="1" si="55"/>
        <v/>
      </c>
      <c r="G200" s="138" t="str">
        <f t="shared" ca="1" si="56"/>
        <v/>
      </c>
      <c r="H200" s="73" t="str">
        <f t="shared" ca="1" si="57"/>
        <v/>
      </c>
      <c r="I200" s="136" t="str">
        <f t="shared" ca="1" si="58"/>
        <v/>
      </c>
      <c r="J200" s="138" t="str">
        <f t="shared" ca="1" si="59"/>
        <v/>
      </c>
      <c r="K200" s="73" t="str">
        <f t="shared" ca="1" si="60"/>
        <v/>
      </c>
      <c r="L200" s="136" t="str">
        <f t="shared" ca="1" si="61"/>
        <v/>
      </c>
      <c r="M200" s="138" t="str">
        <f t="shared" ca="1" si="62"/>
        <v/>
      </c>
      <c r="N200" s="73" t="str">
        <f t="shared" ca="1" si="63"/>
        <v/>
      </c>
      <c r="O200" s="136" t="str">
        <f t="shared" ca="1" si="64"/>
        <v/>
      </c>
    </row>
    <row r="201" spans="1:15" ht="16.5" customHeight="1" thickBot="1">
      <c r="A201" s="157">
        <v>28</v>
      </c>
      <c r="B201" s="157" t="str">
        <f>TEXT(투자전략!$G$1+27, "[$-ko-KR]yyyy.mm.dd")</f>
        <v>2021.05.28</v>
      </c>
      <c r="C201" s="135" t="str">
        <f t="shared" ca="1" si="52"/>
        <v/>
      </c>
      <c r="D201" s="139" t="str">
        <f t="shared" ca="1" si="53"/>
        <v/>
      </c>
      <c r="E201" s="75" t="str">
        <f t="shared" ca="1" si="54"/>
        <v/>
      </c>
      <c r="F201" s="137" t="str">
        <f t="shared" ca="1" si="55"/>
        <v/>
      </c>
      <c r="G201" s="139" t="str">
        <f t="shared" ca="1" si="56"/>
        <v/>
      </c>
      <c r="H201" s="75" t="str">
        <f t="shared" ca="1" si="57"/>
        <v/>
      </c>
      <c r="I201" s="137" t="str">
        <f t="shared" ca="1" si="58"/>
        <v/>
      </c>
      <c r="J201" s="139" t="str">
        <f t="shared" ca="1" si="59"/>
        <v/>
      </c>
      <c r="K201" s="75" t="str">
        <f t="shared" ca="1" si="60"/>
        <v/>
      </c>
      <c r="L201" s="137" t="str">
        <f t="shared" ca="1" si="61"/>
        <v/>
      </c>
      <c r="M201" s="139" t="str">
        <f t="shared" ca="1" si="62"/>
        <v/>
      </c>
      <c r="N201" s="75" t="str">
        <f t="shared" ca="1" si="63"/>
        <v/>
      </c>
      <c r="O201" s="137" t="str">
        <f t="shared" ca="1" si="64"/>
        <v/>
      </c>
    </row>
    <row r="202" spans="1:15" ht="16.5" customHeight="1">
      <c r="A202" s="120">
        <v>29</v>
      </c>
      <c r="B202" s="156" t="str">
        <f>TEXT(투자전략!$G$1+28, "[$-ko-KR]yyyy.mm.dd")</f>
        <v>2021.05.29</v>
      </c>
      <c r="C202" s="134" t="str">
        <f t="shared" ca="1" si="52"/>
        <v/>
      </c>
      <c r="D202" s="138" t="str">
        <f t="shared" ca="1" si="53"/>
        <v/>
      </c>
      <c r="E202" s="73" t="str">
        <f t="shared" ca="1" si="54"/>
        <v/>
      </c>
      <c r="F202" s="136" t="str">
        <f t="shared" ca="1" si="55"/>
        <v/>
      </c>
      <c r="G202" s="138" t="str">
        <f t="shared" ca="1" si="56"/>
        <v/>
      </c>
      <c r="H202" s="73" t="str">
        <f t="shared" ca="1" si="57"/>
        <v/>
      </c>
      <c r="I202" s="136" t="str">
        <f t="shared" ca="1" si="58"/>
        <v/>
      </c>
      <c r="J202" s="138" t="str">
        <f t="shared" ca="1" si="59"/>
        <v/>
      </c>
      <c r="K202" s="73" t="str">
        <f t="shared" ca="1" si="60"/>
        <v/>
      </c>
      <c r="L202" s="136" t="str">
        <f t="shared" ca="1" si="61"/>
        <v/>
      </c>
      <c r="M202" s="138" t="str">
        <f t="shared" ca="1" si="62"/>
        <v/>
      </c>
      <c r="N202" s="73" t="str">
        <f t="shared" ca="1" si="63"/>
        <v/>
      </c>
      <c r="O202" s="136" t="str">
        <f t="shared" ca="1" si="64"/>
        <v/>
      </c>
    </row>
    <row r="203" spans="1:15" ht="16.5" customHeight="1">
      <c r="A203" s="120">
        <v>30</v>
      </c>
      <c r="B203" s="155" t="str">
        <f>TEXT(투자전략!$G$1+29, "[$-ko-KR]yyyy.mm.dd")</f>
        <v>2021.05.30</v>
      </c>
      <c r="C203" s="134" t="str">
        <f t="shared" ca="1" si="52"/>
        <v/>
      </c>
      <c r="D203" s="138" t="str">
        <f t="shared" ca="1" si="53"/>
        <v/>
      </c>
      <c r="E203" s="73" t="str">
        <f t="shared" ca="1" si="54"/>
        <v/>
      </c>
      <c r="F203" s="136" t="str">
        <f t="shared" ca="1" si="55"/>
        <v/>
      </c>
      <c r="G203" s="138" t="str">
        <f t="shared" ca="1" si="56"/>
        <v/>
      </c>
      <c r="H203" s="73" t="str">
        <f t="shared" ca="1" si="57"/>
        <v/>
      </c>
      <c r="I203" s="136" t="str">
        <f t="shared" ca="1" si="58"/>
        <v/>
      </c>
      <c r="J203" s="138" t="str">
        <f t="shared" ca="1" si="59"/>
        <v/>
      </c>
      <c r="K203" s="73" t="str">
        <f t="shared" ca="1" si="60"/>
        <v/>
      </c>
      <c r="L203" s="136" t="str">
        <f t="shared" ca="1" si="61"/>
        <v/>
      </c>
      <c r="M203" s="138" t="str">
        <f t="shared" ca="1" si="62"/>
        <v/>
      </c>
      <c r="N203" s="73" t="str">
        <f t="shared" ca="1" si="63"/>
        <v/>
      </c>
      <c r="O203" s="136" t="str">
        <f t="shared" ca="1" si="64"/>
        <v/>
      </c>
    </row>
    <row r="204" spans="1:15" ht="16.5" customHeight="1" thickBot="1">
      <c r="A204" s="120">
        <v>31</v>
      </c>
      <c r="B204" s="155" t="str">
        <f>TEXT(투자전략!$G$1+30, "[$-ko-KR]yyyy.mm.dd")</f>
        <v>2021.05.31</v>
      </c>
      <c r="C204" s="135" t="str">
        <f t="shared" ca="1" si="52"/>
        <v/>
      </c>
      <c r="D204" s="139" t="str">
        <f t="shared" ca="1" si="53"/>
        <v/>
      </c>
      <c r="E204" s="75" t="str">
        <f t="shared" ca="1" si="54"/>
        <v/>
      </c>
      <c r="F204" s="137" t="str">
        <f t="shared" ca="1" si="55"/>
        <v/>
      </c>
      <c r="G204" s="139" t="str">
        <f t="shared" ca="1" si="56"/>
        <v/>
      </c>
      <c r="H204" s="75" t="str">
        <f t="shared" ca="1" si="57"/>
        <v/>
      </c>
      <c r="I204" s="137" t="str">
        <f t="shared" ca="1" si="58"/>
        <v/>
      </c>
      <c r="J204" s="139" t="str">
        <f t="shared" ca="1" si="59"/>
        <v/>
      </c>
      <c r="K204" s="75" t="str">
        <f t="shared" ca="1" si="60"/>
        <v/>
      </c>
      <c r="L204" s="137" t="str">
        <f t="shared" ca="1" si="61"/>
        <v/>
      </c>
      <c r="M204" s="139" t="str">
        <f t="shared" ca="1" si="62"/>
        <v/>
      </c>
      <c r="N204" s="75" t="str">
        <f t="shared" ca="1" si="63"/>
        <v/>
      </c>
      <c r="O204" s="137" t="str">
        <f t="shared" ca="1" si="64"/>
        <v/>
      </c>
    </row>
    <row r="205" spans="1:15" ht="16.5" customHeight="1" thickBot="1">
      <c r="A205" s="258" t="s">
        <v>319</v>
      </c>
      <c r="B205" s="260"/>
      <c r="C205" s="131" t="s">
        <v>314</v>
      </c>
      <c r="D205" s="149" t="s">
        <v>315</v>
      </c>
      <c r="E205" s="150" t="s">
        <v>316</v>
      </c>
      <c r="F205" s="151" t="s">
        <v>317</v>
      </c>
      <c r="G205" s="149" t="s">
        <v>315</v>
      </c>
      <c r="H205" s="150" t="s">
        <v>316</v>
      </c>
      <c r="I205" s="151" t="s">
        <v>317</v>
      </c>
      <c r="J205" s="149" t="s">
        <v>315</v>
      </c>
      <c r="K205" s="150" t="s">
        <v>316</v>
      </c>
      <c r="L205" s="151" t="s">
        <v>317</v>
      </c>
      <c r="M205" s="149" t="s">
        <v>315</v>
      </c>
      <c r="N205" s="150" t="s">
        <v>316</v>
      </c>
      <c r="O205" s="151" t="s">
        <v>317</v>
      </c>
    </row>
    <row r="206" spans="1:15" ht="16.5" customHeight="1" thickBot="1">
      <c r="A206" s="264"/>
      <c r="B206" s="266"/>
      <c r="C206" s="135">
        <f ca="1">SUM(C174:C204)</f>
        <v>55800000</v>
      </c>
      <c r="D206" s="139">
        <f ca="1">SUM(D174:D204)</f>
        <v>55177058.434279598</v>
      </c>
      <c r="E206" s="75">
        <f ca="1">IFERROR(F206 / (SUM($C174:$C204) / COUNT($C174:$C204)), 0)</f>
        <v>-0.17862123748255265</v>
      </c>
      <c r="F206" s="137">
        <f ca="1">SUM(F174:F204)</f>
        <v>-622941.5657204024</v>
      </c>
      <c r="G206" s="139">
        <f ca="1">SUM(G174:G204)</f>
        <v>55309369.110771477</v>
      </c>
      <c r="H206" s="75">
        <f ca="1">IFERROR(I206 / (SUM($C174:$C204) / COUNT($C174:$C204)), 0)</f>
        <v>-0.1406826922519013</v>
      </c>
      <c r="I206" s="137">
        <f ca="1">SUM(I174:I204)</f>
        <v>-490630.88922850584</v>
      </c>
      <c r="J206" s="139">
        <f ca="1">SUM(J174:J204)</f>
        <v>55575149.777838185</v>
      </c>
      <c r="K206" s="75">
        <f ca="1">IFERROR(L206 / (SUM($C174:$C204) / COUNT($C174:$C204)), 0)</f>
        <v>-6.4473181981884328E-2</v>
      </c>
      <c r="L206" s="137">
        <f ca="1">SUM(L174:L204)</f>
        <v>-224850.22216182161</v>
      </c>
      <c r="M206" s="139">
        <f ca="1">SUM(M174:M204)</f>
        <v>55324659.306066662</v>
      </c>
      <c r="N206" s="75">
        <f ca="1">IFERROR(O206 / (SUM($C174:$C204) / COUNT($C174:$C204)), 0)</f>
        <v>-0.13629840686260331</v>
      </c>
      <c r="O206" s="137">
        <f ca="1">SUM(O174:O204)</f>
        <v>-475340.69393332902</v>
      </c>
    </row>
    <row r="208" spans="1:15" ht="16.5" customHeight="1" thickBot="1"/>
    <row r="209" spans="1:15" ht="16.5" customHeight="1" thickBot="1">
      <c r="A209" s="249" t="str">
        <f>TEXT(투자전략!$G$1, "[$-ko-KR]yyyy년 mm월 ") &amp; "[동전코인] 전일대비 상승률 Bottom20 월말결산"</f>
        <v>2021년 05월 [동전코인] 전일대비 상승률 Bottom20 월말결산</v>
      </c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50"/>
      <c r="M209" s="250"/>
      <c r="N209" s="250"/>
      <c r="O209" s="251"/>
    </row>
    <row r="210" spans="1:15" ht="16.5" customHeight="1" thickBot="1">
      <c r="A210" s="310" t="s">
        <v>320</v>
      </c>
      <c r="B210" s="264" t="s">
        <v>318</v>
      </c>
      <c r="C210" s="266"/>
      <c r="D210" s="264" t="s">
        <v>310</v>
      </c>
      <c r="E210" s="265"/>
      <c r="F210" s="266"/>
      <c r="G210" s="264" t="s">
        <v>311</v>
      </c>
      <c r="H210" s="265"/>
      <c r="I210" s="266"/>
      <c r="J210" s="264" t="s">
        <v>312</v>
      </c>
      <c r="K210" s="265"/>
      <c r="L210" s="266"/>
      <c r="M210" s="264" t="s">
        <v>313</v>
      </c>
      <c r="N210" s="265"/>
      <c r="O210" s="266"/>
    </row>
    <row r="211" spans="1:15" ht="16.5" customHeight="1" thickBot="1">
      <c r="A211" s="314"/>
      <c r="B211" s="156" t="s">
        <v>308</v>
      </c>
      <c r="C211" s="156" t="s">
        <v>42</v>
      </c>
      <c r="D211" s="120" t="s">
        <v>309</v>
      </c>
      <c r="E211" s="132" t="s">
        <v>40</v>
      </c>
      <c r="F211" s="158" t="s">
        <v>41</v>
      </c>
      <c r="G211" s="120" t="s">
        <v>309</v>
      </c>
      <c r="H211" s="132" t="s">
        <v>40</v>
      </c>
      <c r="I211" s="158" t="s">
        <v>41</v>
      </c>
      <c r="J211" s="120" t="s">
        <v>309</v>
      </c>
      <c r="K211" s="132" t="s">
        <v>40</v>
      </c>
      <c r="L211" s="158" t="s">
        <v>41</v>
      </c>
      <c r="M211" s="120" t="s">
        <v>309</v>
      </c>
      <c r="N211" s="132" t="s">
        <v>40</v>
      </c>
      <c r="O211" s="158" t="s">
        <v>41</v>
      </c>
    </row>
    <row r="212" spans="1:15" ht="16.5" customHeight="1">
      <c r="A212" s="156">
        <v>1</v>
      </c>
      <c r="B212" s="156" t="str">
        <f>TEXT(투자전략!$G$1+0, "[$-ko-KR]yyyy.mm.dd")</f>
        <v>2021.05.01</v>
      </c>
      <c r="C212" s="133">
        <f ca="1">IFERROR(COUNTA(INDIRECT($B212&amp;"!A152:A171")) * INDIRECT($B212&amp;"!B172"), "")</f>
        <v>6000000</v>
      </c>
      <c r="D212" s="141">
        <f ca="1">IFERROR($C212 * (1 + E212), "")</f>
        <v>6124643.8078743648</v>
      </c>
      <c r="E212" s="72">
        <f ca="1">IFERROR(INDIRECT($B212&amp;"!E172"), "")</f>
        <v>2.0773967979060941E-2</v>
      </c>
      <c r="F212" s="140">
        <f ca="1">IFERROR(INDIRECT($B212&amp;"!F172"), "")</f>
        <v>124643.80787436568</v>
      </c>
      <c r="G212" s="141">
        <f ca="1">IFERROR($C212 * (1 + H212), "")</f>
        <v>6105413.1165179126</v>
      </c>
      <c r="H212" s="72">
        <f ca="1">IFERROR(INDIRECT($B212&amp;"!H172"), "")</f>
        <v>1.7568852752985451E-2</v>
      </c>
      <c r="I212" s="140">
        <f ca="1">IFERROR(INDIRECT($B212&amp;"!I172"), "")</f>
        <v>105413.11651791273</v>
      </c>
      <c r="J212" s="141">
        <f ca="1">IFERROR($C212 * (1 + K212), "")</f>
        <v>6163717.9750172189</v>
      </c>
      <c r="K212" s="72">
        <f ca="1">IFERROR(INDIRECT($B212&amp;"!K172"), "")</f>
        <v>2.7286329169536477E-2</v>
      </c>
      <c r="L212" s="140">
        <f ca="1">IFERROR(INDIRECT($B212&amp;"!L172"), "")</f>
        <v>163717.97501721897</v>
      </c>
      <c r="M212" s="141">
        <f ca="1">IFERROR($C212 * (1 + N212), "")</f>
        <v>6157901.8330953205</v>
      </c>
      <c r="N212" s="72">
        <f ca="1">IFERROR(INDIRECT($B212&amp;"!N172"), "")</f>
        <v>2.6316972182553383E-2</v>
      </c>
      <c r="O212" s="140">
        <f ca="1">IFERROR(INDIRECT($B212&amp;"!O172"), "")</f>
        <v>157901.8330953203</v>
      </c>
    </row>
    <row r="213" spans="1:15" ht="16.5" customHeight="1">
      <c r="A213" s="155">
        <v>2</v>
      </c>
      <c r="B213" s="155" t="str">
        <f>TEXT(투자전략!$G$1+1, "[$-ko-KR]yyyy.mm.dd")</f>
        <v>2021.05.02</v>
      </c>
      <c r="C213" s="134">
        <f t="shared" ref="C213:C242" ca="1" si="65">IFERROR(COUNTA(INDIRECT($B213&amp;"!A152:A171")) * INDIRECT($B213&amp;"!B172"), "")</f>
        <v>6000000</v>
      </c>
      <c r="D213" s="138">
        <f t="shared" ref="D213:D242" ca="1" si="66">IFERROR($C213 * (1 + E213), "")</f>
        <v>5961370.5070159072</v>
      </c>
      <c r="E213" s="73">
        <f t="shared" ref="E213:E242" ca="1" si="67">IFERROR(INDIRECT($B213&amp;"!E172"), "")</f>
        <v>-6.4382488306821582E-3</v>
      </c>
      <c r="F213" s="136">
        <f t="shared" ref="F213:F242" ca="1" si="68">IFERROR(INDIRECT($B213&amp;"!F172"), "")</f>
        <v>-38629.492984092954</v>
      </c>
      <c r="G213" s="138">
        <f t="shared" ref="G213:G242" ca="1" si="69">IFERROR($C213 * (1 + H213), "")</f>
        <v>5966190.2954432806</v>
      </c>
      <c r="H213" s="73">
        <f t="shared" ref="H213:H242" ca="1" si="70">IFERROR(INDIRECT($B213&amp;"!H172"), "")</f>
        <v>-5.6349507594533142E-3</v>
      </c>
      <c r="I213" s="136">
        <f t="shared" ref="I213:I242" ca="1" si="71">IFERROR(INDIRECT($B213&amp;"!I172"), "")</f>
        <v>-33809.704556719887</v>
      </c>
      <c r="J213" s="138">
        <f t="shared" ref="J213:J242" ca="1" si="72">IFERROR($C213 * (1 + K213), "")</f>
        <v>6004574.4043603446</v>
      </c>
      <c r="K213" s="73">
        <f t="shared" ref="K213:K242" ca="1" si="73">IFERROR(INDIRECT($B213&amp;"!K172"), "")</f>
        <v>7.6240072672426322E-4</v>
      </c>
      <c r="L213" s="136">
        <f t="shared" ref="L213:L242" ca="1" si="74">IFERROR(INDIRECT($B213&amp;"!L172"), "")</f>
        <v>4574.404360345583</v>
      </c>
      <c r="M213" s="138">
        <f t="shared" ref="M213:M242" ca="1" si="75">IFERROR($C213 * (1 + N213), "")</f>
        <v>6066987.4722006135</v>
      </c>
      <c r="N213" s="73">
        <f t="shared" ref="N213:N242" ca="1" si="76">IFERROR(INDIRECT($B213&amp;"!N172"), "")</f>
        <v>1.1164578700102153E-2</v>
      </c>
      <c r="O213" s="136">
        <f t="shared" ref="O213:O242" ca="1" si="77">IFERROR(INDIRECT($B213&amp;"!O172"), "")</f>
        <v>66987.472200612887</v>
      </c>
    </row>
    <row r="214" spans="1:15" ht="16.5" customHeight="1">
      <c r="A214" s="155">
        <v>3</v>
      </c>
      <c r="B214" s="155" t="str">
        <f>TEXT(투자전략!$G$1+2, "[$-ko-KR]yyyy.mm.dd")</f>
        <v>2021.05.03</v>
      </c>
      <c r="C214" s="134">
        <f t="shared" ca="1" si="65"/>
        <v>6000000</v>
      </c>
      <c r="D214" s="138">
        <f t="shared" ca="1" si="66"/>
        <v>6128356.0662969947</v>
      </c>
      <c r="E214" s="73">
        <f t="shared" ca="1" si="67"/>
        <v>2.1392677716165733E-2</v>
      </c>
      <c r="F214" s="136">
        <f t="shared" ca="1" si="68"/>
        <v>128356.06629699441</v>
      </c>
      <c r="G214" s="138">
        <f t="shared" ca="1" si="69"/>
        <v>6240631.5506008863</v>
      </c>
      <c r="H214" s="73">
        <f t="shared" ca="1" si="70"/>
        <v>4.010525843348102E-2</v>
      </c>
      <c r="I214" s="136">
        <f t="shared" ca="1" si="71"/>
        <v>240631.55060088605</v>
      </c>
      <c r="J214" s="138">
        <f t="shared" ca="1" si="72"/>
        <v>6248225.5412954725</v>
      </c>
      <c r="K214" s="73">
        <f t="shared" ca="1" si="73"/>
        <v>4.1370923549245493E-2</v>
      </c>
      <c r="L214" s="136">
        <f t="shared" ca="1" si="74"/>
        <v>248225.541295473</v>
      </c>
      <c r="M214" s="138">
        <f t="shared" ca="1" si="75"/>
        <v>6222210.6952812904</v>
      </c>
      <c r="N214" s="73">
        <f t="shared" ca="1" si="76"/>
        <v>3.7035115880215207E-2</v>
      </c>
      <c r="O214" s="136">
        <f t="shared" ca="1" si="77"/>
        <v>222210.69528129121</v>
      </c>
    </row>
    <row r="215" spans="1:15" ht="16.5" customHeight="1">
      <c r="A215" s="155">
        <v>4</v>
      </c>
      <c r="B215" s="155" t="str">
        <f>TEXT(투자전략!$G$1+3, "[$-ko-KR]yyyy.mm.dd")</f>
        <v>2021.05.04</v>
      </c>
      <c r="C215" s="134">
        <f t="shared" ca="1" si="65"/>
        <v>6000000</v>
      </c>
      <c r="D215" s="138">
        <f t="shared" ca="1" si="66"/>
        <v>5752840.7580823554</v>
      </c>
      <c r="E215" s="73">
        <f t="shared" ca="1" si="67"/>
        <v>-4.1193206986274031E-2</v>
      </c>
      <c r="F215" s="136">
        <f t="shared" ca="1" si="68"/>
        <v>-247159.24191764425</v>
      </c>
      <c r="G215" s="138">
        <f t="shared" ca="1" si="69"/>
        <v>5793742.7243329585</v>
      </c>
      <c r="H215" s="73">
        <f t="shared" ca="1" si="70"/>
        <v>-3.4376212611173518E-2</v>
      </c>
      <c r="I215" s="136">
        <f t="shared" ca="1" si="71"/>
        <v>-206257.27566704105</v>
      </c>
      <c r="J215" s="138">
        <f t="shared" ca="1" si="72"/>
        <v>5765221.5588728925</v>
      </c>
      <c r="K215" s="73">
        <f t="shared" ca="1" si="73"/>
        <v>-3.9129740187851314E-2</v>
      </c>
      <c r="L215" s="136">
        <f t="shared" ca="1" si="74"/>
        <v>-234778.441127108</v>
      </c>
      <c r="M215" s="138">
        <f t="shared" ca="1" si="75"/>
        <v>5573575.2806062503</v>
      </c>
      <c r="N215" s="73">
        <f t="shared" ca="1" si="76"/>
        <v>-7.1070786565624905E-2</v>
      </c>
      <c r="O215" s="136">
        <f t="shared" ca="1" si="77"/>
        <v>-426424.71939374949</v>
      </c>
    </row>
    <row r="216" spans="1:15" ht="16.5" customHeight="1">
      <c r="A216" s="155">
        <v>5</v>
      </c>
      <c r="B216" s="155" t="str">
        <f>TEXT(투자전략!$G$1+4, "[$-ko-KR]yyyy.mm.dd")</f>
        <v>2021.05.05</v>
      </c>
      <c r="C216" s="134">
        <f t="shared" ca="1" si="65"/>
        <v>3000000</v>
      </c>
      <c r="D216" s="138">
        <f t="shared" ca="1" si="66"/>
        <v>2859213.9310296546</v>
      </c>
      <c r="E216" s="73">
        <f t="shared" ca="1" si="67"/>
        <v>-4.6928689656781777E-2</v>
      </c>
      <c r="F216" s="136">
        <f t="shared" ca="1" si="68"/>
        <v>-140786.06897034537</v>
      </c>
      <c r="G216" s="138">
        <f t="shared" ca="1" si="69"/>
        <v>2903434.1887083645</v>
      </c>
      <c r="H216" s="73">
        <f t="shared" ca="1" si="70"/>
        <v>-3.2188603763878595E-2</v>
      </c>
      <c r="I216" s="136">
        <f t="shared" ca="1" si="71"/>
        <v>-96565.811291635808</v>
      </c>
      <c r="J216" s="138">
        <f t="shared" ca="1" si="72"/>
        <v>2859883.4321260368</v>
      </c>
      <c r="K216" s="73">
        <f t="shared" ca="1" si="73"/>
        <v>-4.6705522624654335E-2</v>
      </c>
      <c r="L216" s="136">
        <f t="shared" ca="1" si="74"/>
        <v>-140116.56787396301</v>
      </c>
      <c r="M216" s="138">
        <f t="shared" ca="1" si="75"/>
        <v>2910276.6014548303</v>
      </c>
      <c r="N216" s="73">
        <f t="shared" ca="1" si="76"/>
        <v>-2.9907799515056555E-2</v>
      </c>
      <c r="O216" s="136">
        <f t="shared" ca="1" si="77"/>
        <v>-89723.398545169664</v>
      </c>
    </row>
    <row r="217" spans="1:15" ht="16.5" customHeight="1">
      <c r="A217" s="155">
        <v>6</v>
      </c>
      <c r="B217" s="155" t="str">
        <f>TEXT(투자전략!$G$1+5, "[$-ko-KR]yyyy.mm.dd")</f>
        <v>2021.05.06</v>
      </c>
      <c r="C217" s="134">
        <f t="shared" ca="1" si="65"/>
        <v>3000000</v>
      </c>
      <c r="D217" s="138">
        <f t="shared" ca="1" si="66"/>
        <v>3051209.0012251437</v>
      </c>
      <c r="E217" s="73">
        <f t="shared" ca="1" si="67"/>
        <v>1.7069667075047916E-2</v>
      </c>
      <c r="F217" s="136">
        <f t="shared" ca="1" si="68"/>
        <v>51209.001225143751</v>
      </c>
      <c r="G217" s="138">
        <f t="shared" ca="1" si="69"/>
        <v>3039003.1049177893</v>
      </c>
      <c r="H217" s="73">
        <f t="shared" ca="1" si="70"/>
        <v>1.300103497259641E-2</v>
      </c>
      <c r="I217" s="136">
        <f t="shared" ca="1" si="71"/>
        <v>39003.104917789227</v>
      </c>
      <c r="J217" s="138">
        <f t="shared" ca="1" si="72"/>
        <v>3029908.0315797902</v>
      </c>
      <c r="K217" s="73">
        <f t="shared" ca="1" si="73"/>
        <v>9.9693438599300147E-3</v>
      </c>
      <c r="L217" s="136">
        <f t="shared" ca="1" si="74"/>
        <v>29908.031579790048</v>
      </c>
      <c r="M217" s="138">
        <f t="shared" ca="1" si="75"/>
        <v>3007956.3399408925</v>
      </c>
      <c r="N217" s="73">
        <f t="shared" ca="1" si="76"/>
        <v>2.6521133136307622E-3</v>
      </c>
      <c r="O217" s="136">
        <f t="shared" ca="1" si="77"/>
        <v>7956.3399408922869</v>
      </c>
    </row>
    <row r="218" spans="1:15" ht="16.5" customHeight="1" thickBot="1">
      <c r="A218" s="157">
        <v>7</v>
      </c>
      <c r="B218" s="157" t="str">
        <f>TEXT(투자전략!$G$1+6, "[$-ko-KR]yyyy.mm.dd")</f>
        <v>2021.05.07</v>
      </c>
      <c r="C218" s="134">
        <f t="shared" ca="1" si="65"/>
        <v>3000000</v>
      </c>
      <c r="D218" s="138">
        <f t="shared" ca="1" si="66"/>
        <v>2805375.8685839912</v>
      </c>
      <c r="E218" s="73">
        <f t="shared" ca="1" si="67"/>
        <v>-6.4874710472002869E-2</v>
      </c>
      <c r="F218" s="136">
        <f t="shared" ca="1" si="68"/>
        <v>-194624.13141600866</v>
      </c>
      <c r="G218" s="138">
        <f t="shared" ca="1" si="69"/>
        <v>2851711.8765159096</v>
      </c>
      <c r="H218" s="73">
        <f t="shared" ca="1" si="70"/>
        <v>-4.9429374494696816E-2</v>
      </c>
      <c r="I218" s="136">
        <f t="shared" ca="1" si="71"/>
        <v>-148288.12348409035</v>
      </c>
      <c r="J218" s="138">
        <f t="shared" ca="1" si="72"/>
        <v>2947203.4301671609</v>
      </c>
      <c r="K218" s="73">
        <f t="shared" ca="1" si="73"/>
        <v>-1.7598856610946283E-2</v>
      </c>
      <c r="L218" s="136">
        <f t="shared" ca="1" si="74"/>
        <v>-52796.569832838817</v>
      </c>
      <c r="M218" s="138">
        <f t="shared" ca="1" si="75"/>
        <v>2974959.4558363748</v>
      </c>
      <c r="N218" s="73">
        <f t="shared" ca="1" si="76"/>
        <v>-8.3468480545416755E-3</v>
      </c>
      <c r="O218" s="136">
        <f t="shared" ca="1" si="77"/>
        <v>-25040.544163625025</v>
      </c>
    </row>
    <row r="219" spans="1:15" ht="16.5" customHeight="1">
      <c r="A219" s="156">
        <v>8</v>
      </c>
      <c r="B219" s="156" t="str">
        <f>TEXT(투자전략!$G$1+7, "[$-ko-KR]yyyy.mm.dd")</f>
        <v>2021.05.08</v>
      </c>
      <c r="C219" s="133">
        <f t="shared" ca="1" si="65"/>
        <v>3000000</v>
      </c>
      <c r="D219" s="141">
        <f t="shared" ca="1" si="66"/>
        <v>2998331.1032371502</v>
      </c>
      <c r="E219" s="72">
        <f t="shared" ca="1" si="67"/>
        <v>-5.5629892094985326E-4</v>
      </c>
      <c r="F219" s="140">
        <f t="shared" ca="1" si="68"/>
        <v>-1668.8967628495541</v>
      </c>
      <c r="G219" s="141">
        <f t="shared" ca="1" si="69"/>
        <v>3011721.7892449298</v>
      </c>
      <c r="H219" s="72">
        <f t="shared" ca="1" si="70"/>
        <v>3.9072630816432688E-3</v>
      </c>
      <c r="I219" s="140">
        <f t="shared" ca="1" si="71"/>
        <v>11721.789244929811</v>
      </c>
      <c r="J219" s="141">
        <f t="shared" ca="1" si="72"/>
        <v>3014960.7107148245</v>
      </c>
      <c r="K219" s="72">
        <f t="shared" ca="1" si="73"/>
        <v>4.9869035716082035E-3</v>
      </c>
      <c r="L219" s="140">
        <f t="shared" ca="1" si="74"/>
        <v>14960.710714824621</v>
      </c>
      <c r="M219" s="141">
        <f t="shared" ca="1" si="75"/>
        <v>3018415.3518237369</v>
      </c>
      <c r="N219" s="72">
        <f t="shared" ca="1" si="76"/>
        <v>6.138450607912219E-3</v>
      </c>
      <c r="O219" s="140">
        <f t="shared" ca="1" si="77"/>
        <v>18415.351823736666</v>
      </c>
    </row>
    <row r="220" spans="1:15" ht="16.5" customHeight="1">
      <c r="A220" s="155">
        <v>9</v>
      </c>
      <c r="B220" s="155" t="str">
        <f>TEXT(투자전략!$G$1+8, "[$-ko-KR]yyyy.mm.dd")</f>
        <v>2021.05.09</v>
      </c>
      <c r="C220" s="134">
        <f t="shared" ca="1" si="65"/>
        <v>3000000</v>
      </c>
      <c r="D220" s="138">
        <f t="shared" ca="1" si="66"/>
        <v>2944165.3081130967</v>
      </c>
      <c r="E220" s="73">
        <f t="shared" ca="1" si="67"/>
        <v>-1.861156396230107E-2</v>
      </c>
      <c r="F220" s="136">
        <f t="shared" ca="1" si="68"/>
        <v>-55834.691886903216</v>
      </c>
      <c r="G220" s="138">
        <f t="shared" ca="1" si="69"/>
        <v>2911798.1064200858</v>
      </c>
      <c r="H220" s="73">
        <f t="shared" ca="1" si="70"/>
        <v>-2.9400631193304761E-2</v>
      </c>
      <c r="I220" s="136">
        <f t="shared" ca="1" si="71"/>
        <v>-88201.893579914278</v>
      </c>
      <c r="J220" s="138">
        <f t="shared" ca="1" si="72"/>
        <v>2868830.8808625829</v>
      </c>
      <c r="K220" s="73">
        <f t="shared" ca="1" si="73"/>
        <v>-4.3723039712472413E-2</v>
      </c>
      <c r="L220" s="136">
        <f t="shared" ca="1" si="74"/>
        <v>-131169.11913741723</v>
      </c>
      <c r="M220" s="138">
        <f t="shared" ca="1" si="75"/>
        <v>2892693.2025718405</v>
      </c>
      <c r="N220" s="73">
        <f t="shared" ca="1" si="76"/>
        <v>-3.5768932476053207E-2</v>
      </c>
      <c r="O220" s="136">
        <f t="shared" ca="1" si="77"/>
        <v>-107306.7974281596</v>
      </c>
    </row>
    <row r="221" spans="1:15" ht="16.5" customHeight="1">
      <c r="A221" s="155">
        <v>10</v>
      </c>
      <c r="B221" s="155" t="str">
        <f>TEXT(투자전략!$G$1+9, "[$-ko-KR]yyyy.mm.dd")</f>
        <v>2021.05.10</v>
      </c>
      <c r="C221" s="134">
        <f t="shared" ca="1" si="65"/>
        <v>3000000</v>
      </c>
      <c r="D221" s="138">
        <f t="shared" ca="1" si="66"/>
        <v>3061304.4377617794</v>
      </c>
      <c r="E221" s="73">
        <f t="shared" ca="1" si="67"/>
        <v>2.0434812587259661E-2</v>
      </c>
      <c r="F221" s="136">
        <f t="shared" ca="1" si="68"/>
        <v>61304.437761778987</v>
      </c>
      <c r="G221" s="138">
        <f t="shared" ca="1" si="69"/>
        <v>3079396.4316040818</v>
      </c>
      <c r="H221" s="73">
        <f t="shared" ca="1" si="70"/>
        <v>2.6465477201360704E-2</v>
      </c>
      <c r="I221" s="136">
        <f t="shared" ca="1" si="71"/>
        <v>79396.431604082114</v>
      </c>
      <c r="J221" s="138">
        <f t="shared" ca="1" si="72"/>
        <v>3073425.6309876954</v>
      </c>
      <c r="K221" s="73">
        <f t="shared" ca="1" si="73"/>
        <v>2.4475210329231858E-2</v>
      </c>
      <c r="L221" s="136">
        <f t="shared" ca="1" si="74"/>
        <v>73425.630987695564</v>
      </c>
      <c r="M221" s="138">
        <f t="shared" ca="1" si="75"/>
        <v>3030855.8183032083</v>
      </c>
      <c r="N221" s="73">
        <f t="shared" ca="1" si="76"/>
        <v>1.0285272767736109E-2</v>
      </c>
      <c r="O221" s="136">
        <f t="shared" ca="1" si="77"/>
        <v>30855.818303208325</v>
      </c>
    </row>
    <row r="222" spans="1:15" ht="16.5" customHeight="1">
      <c r="A222" s="155">
        <v>11</v>
      </c>
      <c r="B222" s="155" t="str">
        <f>TEXT(투자전략!$G$1+10, "[$-ko-KR]yyyy.mm.dd")</f>
        <v>2021.05.11</v>
      </c>
      <c r="C222" s="134">
        <f t="shared" ca="1" si="65"/>
        <v>3000000</v>
      </c>
      <c r="D222" s="138">
        <f t="shared" ca="1" si="66"/>
        <v>2792989.9459936251</v>
      </c>
      <c r="E222" s="73">
        <f t="shared" ca="1" si="67"/>
        <v>-6.9003351335458304E-2</v>
      </c>
      <c r="F222" s="136">
        <f t="shared" ca="1" si="68"/>
        <v>-207010.05400637494</v>
      </c>
      <c r="G222" s="138">
        <f t="shared" ca="1" si="69"/>
        <v>2898175.7702186247</v>
      </c>
      <c r="H222" s="73">
        <f t="shared" ca="1" si="70"/>
        <v>-3.3941409927125035E-2</v>
      </c>
      <c r="I222" s="136">
        <f t="shared" ca="1" si="71"/>
        <v>-101824.22978137511</v>
      </c>
      <c r="J222" s="138">
        <f t="shared" ca="1" si="72"/>
        <v>2923188.9934522812</v>
      </c>
      <c r="K222" s="73">
        <f t="shared" ca="1" si="73"/>
        <v>-2.5603668849239626E-2</v>
      </c>
      <c r="L222" s="136">
        <f t="shared" ca="1" si="74"/>
        <v>-76811.006547718862</v>
      </c>
      <c r="M222" s="138">
        <f t="shared" ca="1" si="75"/>
        <v>2908549.0169540797</v>
      </c>
      <c r="N222" s="73">
        <f t="shared" ca="1" si="76"/>
        <v>-3.0483661015306751E-2</v>
      </c>
      <c r="O222" s="136">
        <f t="shared" ca="1" si="77"/>
        <v>-91450.983045920249</v>
      </c>
    </row>
    <row r="223" spans="1:15" ht="16.5" customHeight="1">
      <c r="A223" s="155">
        <v>12</v>
      </c>
      <c r="B223" s="155" t="str">
        <f>TEXT(투자전략!$G$1+11, "[$-ko-KR]yyyy.mm.dd")</f>
        <v>2021.05.12</v>
      </c>
      <c r="C223" s="134">
        <f t="shared" ca="1" si="65"/>
        <v>3000000</v>
      </c>
      <c r="D223" s="138">
        <f t="shared" ca="1" si="66"/>
        <v>3134864.7363630887</v>
      </c>
      <c r="E223" s="73">
        <f t="shared" ca="1" si="67"/>
        <v>4.4954912121029464E-2</v>
      </c>
      <c r="F223" s="136">
        <f t="shared" ca="1" si="68"/>
        <v>134864.73636308839</v>
      </c>
      <c r="G223" s="138">
        <f t="shared" ca="1" si="69"/>
        <v>3092523.3134851987</v>
      </c>
      <c r="H223" s="73">
        <f t="shared" ca="1" si="70"/>
        <v>3.0841104495066319E-2</v>
      </c>
      <c r="I223" s="136">
        <f t="shared" ca="1" si="71"/>
        <v>92523.313485198931</v>
      </c>
      <c r="J223" s="138">
        <f t="shared" ca="1" si="72"/>
        <v>3088803.7898265687</v>
      </c>
      <c r="K223" s="73">
        <f t="shared" ca="1" si="73"/>
        <v>2.9601263275522861E-2</v>
      </c>
      <c r="L223" s="136">
        <f t="shared" ca="1" si="74"/>
        <v>88803.789826568594</v>
      </c>
      <c r="M223" s="138">
        <f t="shared" ca="1" si="75"/>
        <v>3019329.8338124263</v>
      </c>
      <c r="N223" s="73">
        <f t="shared" ca="1" si="76"/>
        <v>6.4432779374755363E-3</v>
      </c>
      <c r="O223" s="136">
        <f t="shared" ca="1" si="77"/>
        <v>19329.833812426608</v>
      </c>
    </row>
    <row r="224" spans="1:15" ht="16.5" customHeight="1">
      <c r="A224" s="155">
        <v>13</v>
      </c>
      <c r="B224" s="155" t="str">
        <f>TEXT(투자전략!$G$1+12, "[$-ko-KR]yyyy.mm.dd")</f>
        <v>2021.05.13</v>
      </c>
      <c r="C224" s="134">
        <f t="shared" ca="1" si="65"/>
        <v>3000000</v>
      </c>
      <c r="D224" s="138">
        <f t="shared" ca="1" si="66"/>
        <v>2807934.8125050361</v>
      </c>
      <c r="E224" s="73">
        <f t="shared" ca="1" si="67"/>
        <v>-6.4021729164987939E-2</v>
      </c>
      <c r="F224" s="136">
        <f t="shared" ca="1" si="68"/>
        <v>-192065.1874949639</v>
      </c>
      <c r="G224" s="138">
        <f t="shared" ca="1" si="69"/>
        <v>2730017.0054993574</v>
      </c>
      <c r="H224" s="73">
        <f t="shared" ca="1" si="70"/>
        <v>-8.9994331500214159E-2</v>
      </c>
      <c r="I224" s="136">
        <f t="shared" ca="1" si="71"/>
        <v>-269982.99450064241</v>
      </c>
      <c r="J224" s="138">
        <f t="shared" ca="1" si="72"/>
        <v>2781764.4145028754</v>
      </c>
      <c r="K224" s="73">
        <f t="shared" ca="1" si="73"/>
        <v>-7.2745195165708224E-2</v>
      </c>
      <c r="L224" s="136">
        <f t="shared" ca="1" si="74"/>
        <v>-218235.58549712464</v>
      </c>
      <c r="M224" s="138">
        <f t="shared" ca="1" si="75"/>
        <v>2769615.9677084973</v>
      </c>
      <c r="N224" s="73">
        <f t="shared" ca="1" si="76"/>
        <v>-7.6794677430500835E-2</v>
      </c>
      <c r="O224" s="136">
        <f t="shared" ca="1" si="77"/>
        <v>-230384.03229150255</v>
      </c>
    </row>
    <row r="225" spans="1:15" ht="16.5" customHeight="1" thickBot="1">
      <c r="A225" s="157">
        <v>14</v>
      </c>
      <c r="B225" s="157" t="str">
        <f>TEXT(투자전략!$G$1+13, "[$-ko-KR]yyyy.mm.dd")</f>
        <v>2021.05.14</v>
      </c>
      <c r="C225" s="135">
        <f t="shared" ca="1" si="65"/>
        <v>3000000</v>
      </c>
      <c r="D225" s="139">
        <f t="shared" ca="1" si="66"/>
        <v>3026802.6613437952</v>
      </c>
      <c r="E225" s="75">
        <f t="shared" ca="1" si="67"/>
        <v>8.934220447931766E-3</v>
      </c>
      <c r="F225" s="137">
        <f t="shared" ca="1" si="68"/>
        <v>26802.661343795306</v>
      </c>
      <c r="G225" s="139">
        <f t="shared" ca="1" si="69"/>
        <v>3060927.4021040685</v>
      </c>
      <c r="H225" s="75">
        <f t="shared" ca="1" si="70"/>
        <v>2.0309134034689487E-2</v>
      </c>
      <c r="I225" s="137">
        <f t="shared" ca="1" si="71"/>
        <v>60927.402104068446</v>
      </c>
      <c r="J225" s="139">
        <f t="shared" ca="1" si="72"/>
        <v>3061975.9083585609</v>
      </c>
      <c r="K225" s="75">
        <f t="shared" ca="1" si="73"/>
        <v>2.0658636119520228E-2</v>
      </c>
      <c r="L225" s="137">
        <f t="shared" ca="1" si="74"/>
        <v>61975.9083585607</v>
      </c>
      <c r="M225" s="139">
        <f t="shared" ca="1" si="75"/>
        <v>3061510.9737652219</v>
      </c>
      <c r="N225" s="75">
        <f t="shared" ca="1" si="76"/>
        <v>2.0503657921740592E-2</v>
      </c>
      <c r="O225" s="137">
        <f t="shared" ca="1" si="77"/>
        <v>61510.973765221788</v>
      </c>
    </row>
    <row r="226" spans="1:15" ht="16.5" customHeight="1">
      <c r="A226" s="156">
        <v>15</v>
      </c>
      <c r="B226" s="156" t="str">
        <f>TEXT(투자전략!$G$1+14, "[$-ko-KR]yyyy.mm.dd")</f>
        <v>2021.05.15</v>
      </c>
      <c r="C226" s="134">
        <f t="shared" ca="1" si="65"/>
        <v>3000000</v>
      </c>
      <c r="D226" s="138">
        <f t="shared" ca="1" si="66"/>
        <v>3062887.3033819366</v>
      </c>
      <c r="E226" s="73">
        <f t="shared" ca="1" si="67"/>
        <v>2.0962434460645669E-2</v>
      </c>
      <c r="F226" s="136">
        <f t="shared" ca="1" si="68"/>
        <v>62887.303381936996</v>
      </c>
      <c r="G226" s="138">
        <f t="shared" ca="1" si="69"/>
        <v>2961950.818179904</v>
      </c>
      <c r="H226" s="73">
        <f t="shared" ca="1" si="70"/>
        <v>-1.2683060606698663E-2</v>
      </c>
      <c r="I226" s="136">
        <f t="shared" ca="1" si="71"/>
        <v>-38049.181820095997</v>
      </c>
      <c r="J226" s="138">
        <f t="shared" ca="1" si="72"/>
        <v>2990466.0421092059</v>
      </c>
      <c r="K226" s="73">
        <f t="shared" ca="1" si="73"/>
        <v>-3.1779859635979331E-3</v>
      </c>
      <c r="L226" s="136">
        <f t="shared" ca="1" si="74"/>
        <v>-9533.9578907937976</v>
      </c>
      <c r="M226" s="138">
        <f t="shared" ca="1" si="75"/>
        <v>2997014.4790611668</v>
      </c>
      <c r="N226" s="73">
        <f t="shared" ca="1" si="76"/>
        <v>-9.9517364627774553E-4</v>
      </c>
      <c r="O226" s="136">
        <f t="shared" ca="1" si="77"/>
        <v>-2985.5209388332323</v>
      </c>
    </row>
    <row r="227" spans="1:15" ht="16.5" customHeight="1">
      <c r="A227" s="155">
        <v>16</v>
      </c>
      <c r="B227" s="155" t="str">
        <f>TEXT(투자전략!$G$1+15, "[$-ko-KR]yyyy.mm.dd")</f>
        <v>2021.05.16</v>
      </c>
      <c r="C227" s="134">
        <f t="shared" ca="1" si="65"/>
        <v>3000000</v>
      </c>
      <c r="D227" s="138">
        <f t="shared" ca="1" si="66"/>
        <v>3000000</v>
      </c>
      <c r="E227" s="73">
        <f t="shared" ca="1" si="67"/>
        <v>0</v>
      </c>
      <c r="F227" s="136">
        <f t="shared" ca="1" si="68"/>
        <v>0</v>
      </c>
      <c r="G227" s="138">
        <f t="shared" ca="1" si="69"/>
        <v>3000000</v>
      </c>
      <c r="H227" s="73">
        <f t="shared" ca="1" si="70"/>
        <v>0</v>
      </c>
      <c r="I227" s="136">
        <f t="shared" ca="1" si="71"/>
        <v>0</v>
      </c>
      <c r="J227" s="138">
        <f t="shared" ca="1" si="72"/>
        <v>3000000</v>
      </c>
      <c r="K227" s="73">
        <f t="shared" ca="1" si="73"/>
        <v>0</v>
      </c>
      <c r="L227" s="136">
        <f t="shared" ca="1" si="74"/>
        <v>0</v>
      </c>
      <c r="M227" s="138">
        <f t="shared" ca="1" si="75"/>
        <v>3000000</v>
      </c>
      <c r="N227" s="73">
        <f t="shared" ca="1" si="76"/>
        <v>0</v>
      </c>
      <c r="O227" s="136">
        <f t="shared" ca="1" si="77"/>
        <v>0</v>
      </c>
    </row>
    <row r="228" spans="1:15" ht="16.5" customHeight="1">
      <c r="A228" s="155">
        <v>17</v>
      </c>
      <c r="B228" s="155" t="str">
        <f>TEXT(투자전략!$G$1+16, "[$-ko-KR]yyyy.mm.dd")</f>
        <v>2021.05.17</v>
      </c>
      <c r="C228" s="134" t="str">
        <f t="shared" ca="1" si="65"/>
        <v/>
      </c>
      <c r="D228" s="138" t="str">
        <f t="shared" ca="1" si="66"/>
        <v/>
      </c>
      <c r="E228" s="73" t="str">
        <f t="shared" ca="1" si="67"/>
        <v/>
      </c>
      <c r="F228" s="136" t="str">
        <f t="shared" ca="1" si="68"/>
        <v/>
      </c>
      <c r="G228" s="138" t="str">
        <f t="shared" ca="1" si="69"/>
        <v/>
      </c>
      <c r="H228" s="73" t="str">
        <f t="shared" ca="1" si="70"/>
        <v/>
      </c>
      <c r="I228" s="136" t="str">
        <f t="shared" ca="1" si="71"/>
        <v/>
      </c>
      <c r="J228" s="138" t="str">
        <f t="shared" ca="1" si="72"/>
        <v/>
      </c>
      <c r="K228" s="73" t="str">
        <f t="shared" ca="1" si="73"/>
        <v/>
      </c>
      <c r="L228" s="136" t="str">
        <f t="shared" ca="1" si="74"/>
        <v/>
      </c>
      <c r="M228" s="138" t="str">
        <f t="shared" ca="1" si="75"/>
        <v/>
      </c>
      <c r="N228" s="73" t="str">
        <f t="shared" ca="1" si="76"/>
        <v/>
      </c>
      <c r="O228" s="136" t="str">
        <f t="shared" ca="1" si="77"/>
        <v/>
      </c>
    </row>
    <row r="229" spans="1:15" ht="16.5" customHeight="1">
      <c r="A229" s="155">
        <v>18</v>
      </c>
      <c r="B229" s="155" t="str">
        <f>TEXT(투자전략!$G$1+17, "[$-ko-KR]yyyy.mm.dd")</f>
        <v>2021.05.18</v>
      </c>
      <c r="C229" s="134" t="str">
        <f t="shared" ca="1" si="65"/>
        <v/>
      </c>
      <c r="D229" s="138" t="str">
        <f t="shared" ca="1" si="66"/>
        <v/>
      </c>
      <c r="E229" s="73" t="str">
        <f t="shared" ca="1" si="67"/>
        <v/>
      </c>
      <c r="F229" s="136" t="str">
        <f t="shared" ca="1" si="68"/>
        <v/>
      </c>
      <c r="G229" s="138" t="str">
        <f t="shared" ca="1" si="69"/>
        <v/>
      </c>
      <c r="H229" s="73" t="str">
        <f t="shared" ca="1" si="70"/>
        <v/>
      </c>
      <c r="I229" s="136" t="str">
        <f t="shared" ca="1" si="71"/>
        <v/>
      </c>
      <c r="J229" s="138" t="str">
        <f t="shared" ca="1" si="72"/>
        <v/>
      </c>
      <c r="K229" s="73" t="str">
        <f t="shared" ca="1" si="73"/>
        <v/>
      </c>
      <c r="L229" s="136" t="str">
        <f t="shared" ca="1" si="74"/>
        <v/>
      </c>
      <c r="M229" s="138" t="str">
        <f t="shared" ca="1" si="75"/>
        <v/>
      </c>
      <c r="N229" s="73" t="str">
        <f t="shared" ca="1" si="76"/>
        <v/>
      </c>
      <c r="O229" s="136" t="str">
        <f t="shared" ca="1" si="77"/>
        <v/>
      </c>
    </row>
    <row r="230" spans="1:15" ht="16.5" customHeight="1">
      <c r="A230" s="155">
        <v>19</v>
      </c>
      <c r="B230" s="155" t="str">
        <f>TEXT(투자전략!$G$1+18, "[$-ko-KR]yyyy.mm.dd")</f>
        <v>2021.05.19</v>
      </c>
      <c r="C230" s="134" t="str">
        <f t="shared" ca="1" si="65"/>
        <v/>
      </c>
      <c r="D230" s="138" t="str">
        <f t="shared" ca="1" si="66"/>
        <v/>
      </c>
      <c r="E230" s="73" t="str">
        <f t="shared" ca="1" si="67"/>
        <v/>
      </c>
      <c r="F230" s="136" t="str">
        <f t="shared" ca="1" si="68"/>
        <v/>
      </c>
      <c r="G230" s="138" t="str">
        <f t="shared" ca="1" si="69"/>
        <v/>
      </c>
      <c r="H230" s="73" t="str">
        <f t="shared" ca="1" si="70"/>
        <v/>
      </c>
      <c r="I230" s="136" t="str">
        <f t="shared" ca="1" si="71"/>
        <v/>
      </c>
      <c r="J230" s="138" t="str">
        <f t="shared" ca="1" si="72"/>
        <v/>
      </c>
      <c r="K230" s="73" t="str">
        <f t="shared" ca="1" si="73"/>
        <v/>
      </c>
      <c r="L230" s="136" t="str">
        <f t="shared" ca="1" si="74"/>
        <v/>
      </c>
      <c r="M230" s="138" t="str">
        <f t="shared" ca="1" si="75"/>
        <v/>
      </c>
      <c r="N230" s="73" t="str">
        <f t="shared" ca="1" si="76"/>
        <v/>
      </c>
      <c r="O230" s="136" t="str">
        <f t="shared" ca="1" si="77"/>
        <v/>
      </c>
    </row>
    <row r="231" spans="1:15" ht="16.5" customHeight="1">
      <c r="A231" s="155">
        <v>20</v>
      </c>
      <c r="B231" s="155" t="str">
        <f>TEXT(투자전략!$G$1+19, "[$-ko-KR]yyyy.mm.dd")</f>
        <v>2021.05.20</v>
      </c>
      <c r="C231" s="134" t="str">
        <f t="shared" ca="1" si="65"/>
        <v/>
      </c>
      <c r="D231" s="138" t="str">
        <f t="shared" ca="1" si="66"/>
        <v/>
      </c>
      <c r="E231" s="73" t="str">
        <f t="shared" ca="1" si="67"/>
        <v/>
      </c>
      <c r="F231" s="136" t="str">
        <f t="shared" ca="1" si="68"/>
        <v/>
      </c>
      <c r="G231" s="138" t="str">
        <f t="shared" ca="1" si="69"/>
        <v/>
      </c>
      <c r="H231" s="73" t="str">
        <f t="shared" ca="1" si="70"/>
        <v/>
      </c>
      <c r="I231" s="136" t="str">
        <f t="shared" ca="1" si="71"/>
        <v/>
      </c>
      <c r="J231" s="138" t="str">
        <f t="shared" ca="1" si="72"/>
        <v/>
      </c>
      <c r="K231" s="73" t="str">
        <f t="shared" ca="1" si="73"/>
        <v/>
      </c>
      <c r="L231" s="136" t="str">
        <f t="shared" ca="1" si="74"/>
        <v/>
      </c>
      <c r="M231" s="138" t="str">
        <f t="shared" ca="1" si="75"/>
        <v/>
      </c>
      <c r="N231" s="73" t="str">
        <f t="shared" ca="1" si="76"/>
        <v/>
      </c>
      <c r="O231" s="136" t="str">
        <f t="shared" ca="1" si="77"/>
        <v/>
      </c>
    </row>
    <row r="232" spans="1:15" ht="16.5" customHeight="1" thickBot="1">
      <c r="A232" s="157">
        <v>21</v>
      </c>
      <c r="B232" s="157" t="str">
        <f>TEXT(투자전략!$G$1+20, "[$-ko-KR]yyyy.mm.dd")</f>
        <v>2021.05.21</v>
      </c>
      <c r="C232" s="134" t="str">
        <f t="shared" ca="1" si="65"/>
        <v/>
      </c>
      <c r="D232" s="138" t="str">
        <f t="shared" ca="1" si="66"/>
        <v/>
      </c>
      <c r="E232" s="73" t="str">
        <f t="shared" ca="1" si="67"/>
        <v/>
      </c>
      <c r="F232" s="136" t="str">
        <f t="shared" ca="1" si="68"/>
        <v/>
      </c>
      <c r="G232" s="138" t="str">
        <f t="shared" ca="1" si="69"/>
        <v/>
      </c>
      <c r="H232" s="73" t="str">
        <f t="shared" ca="1" si="70"/>
        <v/>
      </c>
      <c r="I232" s="136" t="str">
        <f t="shared" ca="1" si="71"/>
        <v/>
      </c>
      <c r="J232" s="138" t="str">
        <f t="shared" ca="1" si="72"/>
        <v/>
      </c>
      <c r="K232" s="73" t="str">
        <f t="shared" ca="1" si="73"/>
        <v/>
      </c>
      <c r="L232" s="136" t="str">
        <f t="shared" ca="1" si="74"/>
        <v/>
      </c>
      <c r="M232" s="138" t="str">
        <f t="shared" ca="1" si="75"/>
        <v/>
      </c>
      <c r="N232" s="73" t="str">
        <f t="shared" ca="1" si="76"/>
        <v/>
      </c>
      <c r="O232" s="136" t="str">
        <f t="shared" ca="1" si="77"/>
        <v/>
      </c>
    </row>
    <row r="233" spans="1:15" ht="16.5" customHeight="1">
      <c r="A233" s="156">
        <v>22</v>
      </c>
      <c r="B233" s="156" t="str">
        <f>TEXT(투자전략!$G$1+21, "[$-ko-KR]yyyy.mm.dd")</f>
        <v>2021.05.22</v>
      </c>
      <c r="C233" s="133" t="str">
        <f t="shared" ca="1" si="65"/>
        <v/>
      </c>
      <c r="D233" s="141" t="str">
        <f t="shared" ca="1" si="66"/>
        <v/>
      </c>
      <c r="E233" s="72" t="str">
        <f t="shared" ca="1" si="67"/>
        <v/>
      </c>
      <c r="F233" s="140" t="str">
        <f t="shared" ca="1" si="68"/>
        <v/>
      </c>
      <c r="G233" s="141" t="str">
        <f t="shared" ca="1" si="69"/>
        <v/>
      </c>
      <c r="H233" s="72" t="str">
        <f t="shared" ca="1" si="70"/>
        <v/>
      </c>
      <c r="I233" s="140" t="str">
        <f t="shared" ca="1" si="71"/>
        <v/>
      </c>
      <c r="J233" s="141" t="str">
        <f t="shared" ca="1" si="72"/>
        <v/>
      </c>
      <c r="K233" s="72" t="str">
        <f t="shared" ca="1" si="73"/>
        <v/>
      </c>
      <c r="L233" s="140" t="str">
        <f t="shared" ca="1" si="74"/>
        <v/>
      </c>
      <c r="M233" s="141" t="str">
        <f t="shared" ca="1" si="75"/>
        <v/>
      </c>
      <c r="N233" s="72" t="str">
        <f t="shared" ca="1" si="76"/>
        <v/>
      </c>
      <c r="O233" s="140" t="str">
        <f t="shared" ca="1" si="77"/>
        <v/>
      </c>
    </row>
    <row r="234" spans="1:15" ht="16.5" customHeight="1">
      <c r="A234" s="155">
        <v>23</v>
      </c>
      <c r="B234" s="155" t="str">
        <f>TEXT(투자전략!$G$1+22, "[$-ko-KR]yyyy.mm.dd")</f>
        <v>2021.05.23</v>
      </c>
      <c r="C234" s="134" t="str">
        <f t="shared" ca="1" si="65"/>
        <v/>
      </c>
      <c r="D234" s="138" t="str">
        <f t="shared" ca="1" si="66"/>
        <v/>
      </c>
      <c r="E234" s="73" t="str">
        <f t="shared" ca="1" si="67"/>
        <v/>
      </c>
      <c r="F234" s="136" t="str">
        <f t="shared" ca="1" si="68"/>
        <v/>
      </c>
      <c r="G234" s="138" t="str">
        <f t="shared" ca="1" si="69"/>
        <v/>
      </c>
      <c r="H234" s="73" t="str">
        <f t="shared" ca="1" si="70"/>
        <v/>
      </c>
      <c r="I234" s="136" t="str">
        <f t="shared" ca="1" si="71"/>
        <v/>
      </c>
      <c r="J234" s="138" t="str">
        <f t="shared" ca="1" si="72"/>
        <v/>
      </c>
      <c r="K234" s="73" t="str">
        <f t="shared" ca="1" si="73"/>
        <v/>
      </c>
      <c r="L234" s="136" t="str">
        <f t="shared" ca="1" si="74"/>
        <v/>
      </c>
      <c r="M234" s="138" t="str">
        <f t="shared" ca="1" si="75"/>
        <v/>
      </c>
      <c r="N234" s="73" t="str">
        <f t="shared" ca="1" si="76"/>
        <v/>
      </c>
      <c r="O234" s="136" t="str">
        <f t="shared" ca="1" si="77"/>
        <v/>
      </c>
    </row>
    <row r="235" spans="1:15" ht="16.5" customHeight="1">
      <c r="A235" s="155">
        <v>24</v>
      </c>
      <c r="B235" s="155" t="str">
        <f>TEXT(투자전략!$G$1+23, "[$-ko-KR]yyyy.mm.dd")</f>
        <v>2021.05.24</v>
      </c>
      <c r="C235" s="134" t="str">
        <f t="shared" ca="1" si="65"/>
        <v/>
      </c>
      <c r="D235" s="138" t="str">
        <f t="shared" ca="1" si="66"/>
        <v/>
      </c>
      <c r="E235" s="73" t="str">
        <f t="shared" ca="1" si="67"/>
        <v/>
      </c>
      <c r="F235" s="136" t="str">
        <f t="shared" ca="1" si="68"/>
        <v/>
      </c>
      <c r="G235" s="138" t="str">
        <f t="shared" ca="1" si="69"/>
        <v/>
      </c>
      <c r="H235" s="73" t="str">
        <f t="shared" ca="1" si="70"/>
        <v/>
      </c>
      <c r="I235" s="136" t="str">
        <f t="shared" ca="1" si="71"/>
        <v/>
      </c>
      <c r="J235" s="138" t="str">
        <f t="shared" ca="1" si="72"/>
        <v/>
      </c>
      <c r="K235" s="73" t="str">
        <f t="shared" ca="1" si="73"/>
        <v/>
      </c>
      <c r="L235" s="136" t="str">
        <f t="shared" ca="1" si="74"/>
        <v/>
      </c>
      <c r="M235" s="138" t="str">
        <f t="shared" ca="1" si="75"/>
        <v/>
      </c>
      <c r="N235" s="73" t="str">
        <f t="shared" ca="1" si="76"/>
        <v/>
      </c>
      <c r="O235" s="136" t="str">
        <f t="shared" ca="1" si="77"/>
        <v/>
      </c>
    </row>
    <row r="236" spans="1:15" ht="16.5" customHeight="1">
      <c r="A236" s="155">
        <v>25</v>
      </c>
      <c r="B236" s="155" t="str">
        <f>TEXT(투자전략!$G$1+24, "[$-ko-KR]yyyy.mm.dd")</f>
        <v>2021.05.25</v>
      </c>
      <c r="C236" s="134" t="str">
        <f t="shared" ca="1" si="65"/>
        <v/>
      </c>
      <c r="D236" s="138" t="str">
        <f t="shared" ca="1" si="66"/>
        <v/>
      </c>
      <c r="E236" s="73" t="str">
        <f t="shared" ca="1" si="67"/>
        <v/>
      </c>
      <c r="F236" s="136" t="str">
        <f t="shared" ca="1" si="68"/>
        <v/>
      </c>
      <c r="G236" s="138" t="str">
        <f t="shared" ca="1" si="69"/>
        <v/>
      </c>
      <c r="H236" s="73" t="str">
        <f t="shared" ca="1" si="70"/>
        <v/>
      </c>
      <c r="I236" s="136" t="str">
        <f t="shared" ca="1" si="71"/>
        <v/>
      </c>
      <c r="J236" s="138" t="str">
        <f t="shared" ca="1" si="72"/>
        <v/>
      </c>
      <c r="K236" s="73" t="str">
        <f t="shared" ca="1" si="73"/>
        <v/>
      </c>
      <c r="L236" s="136" t="str">
        <f t="shared" ca="1" si="74"/>
        <v/>
      </c>
      <c r="M236" s="138" t="str">
        <f t="shared" ca="1" si="75"/>
        <v/>
      </c>
      <c r="N236" s="73" t="str">
        <f t="shared" ca="1" si="76"/>
        <v/>
      </c>
      <c r="O236" s="136" t="str">
        <f t="shared" ca="1" si="77"/>
        <v/>
      </c>
    </row>
    <row r="237" spans="1:15" ht="16.5" customHeight="1">
      <c r="A237" s="155">
        <v>26</v>
      </c>
      <c r="B237" s="155" t="str">
        <f>TEXT(투자전략!$G$1+25, "[$-ko-KR]yyyy.mm.dd")</f>
        <v>2021.05.26</v>
      </c>
      <c r="C237" s="134" t="str">
        <f t="shared" ca="1" si="65"/>
        <v/>
      </c>
      <c r="D237" s="138" t="str">
        <f t="shared" ca="1" si="66"/>
        <v/>
      </c>
      <c r="E237" s="73" t="str">
        <f t="shared" ca="1" si="67"/>
        <v/>
      </c>
      <c r="F237" s="136" t="str">
        <f t="shared" ca="1" si="68"/>
        <v/>
      </c>
      <c r="G237" s="138" t="str">
        <f t="shared" ca="1" si="69"/>
        <v/>
      </c>
      <c r="H237" s="73" t="str">
        <f t="shared" ca="1" si="70"/>
        <v/>
      </c>
      <c r="I237" s="136" t="str">
        <f t="shared" ca="1" si="71"/>
        <v/>
      </c>
      <c r="J237" s="138" t="str">
        <f t="shared" ca="1" si="72"/>
        <v/>
      </c>
      <c r="K237" s="73" t="str">
        <f t="shared" ca="1" si="73"/>
        <v/>
      </c>
      <c r="L237" s="136" t="str">
        <f t="shared" ca="1" si="74"/>
        <v/>
      </c>
      <c r="M237" s="138" t="str">
        <f t="shared" ca="1" si="75"/>
        <v/>
      </c>
      <c r="N237" s="73" t="str">
        <f t="shared" ca="1" si="76"/>
        <v/>
      </c>
      <c r="O237" s="136" t="str">
        <f t="shared" ca="1" si="77"/>
        <v/>
      </c>
    </row>
    <row r="238" spans="1:15" ht="16.5" customHeight="1">
      <c r="A238" s="155">
        <v>27</v>
      </c>
      <c r="B238" s="155" t="str">
        <f>TEXT(투자전략!$G$1+26, "[$-ko-KR]yyyy.mm.dd")</f>
        <v>2021.05.27</v>
      </c>
      <c r="C238" s="134" t="str">
        <f t="shared" ca="1" si="65"/>
        <v/>
      </c>
      <c r="D238" s="138" t="str">
        <f t="shared" ca="1" si="66"/>
        <v/>
      </c>
      <c r="E238" s="73" t="str">
        <f t="shared" ca="1" si="67"/>
        <v/>
      </c>
      <c r="F238" s="136" t="str">
        <f t="shared" ca="1" si="68"/>
        <v/>
      </c>
      <c r="G238" s="138" t="str">
        <f t="shared" ca="1" si="69"/>
        <v/>
      </c>
      <c r="H238" s="73" t="str">
        <f t="shared" ca="1" si="70"/>
        <v/>
      </c>
      <c r="I238" s="136" t="str">
        <f t="shared" ca="1" si="71"/>
        <v/>
      </c>
      <c r="J238" s="138" t="str">
        <f t="shared" ca="1" si="72"/>
        <v/>
      </c>
      <c r="K238" s="73" t="str">
        <f t="shared" ca="1" si="73"/>
        <v/>
      </c>
      <c r="L238" s="136" t="str">
        <f t="shared" ca="1" si="74"/>
        <v/>
      </c>
      <c r="M238" s="138" t="str">
        <f t="shared" ca="1" si="75"/>
        <v/>
      </c>
      <c r="N238" s="73" t="str">
        <f t="shared" ca="1" si="76"/>
        <v/>
      </c>
      <c r="O238" s="136" t="str">
        <f t="shared" ca="1" si="77"/>
        <v/>
      </c>
    </row>
    <row r="239" spans="1:15" ht="16.5" customHeight="1" thickBot="1">
      <c r="A239" s="157">
        <v>28</v>
      </c>
      <c r="B239" s="157" t="str">
        <f>TEXT(투자전략!$G$1+27, "[$-ko-KR]yyyy.mm.dd")</f>
        <v>2021.05.28</v>
      </c>
      <c r="C239" s="135" t="str">
        <f t="shared" ca="1" si="65"/>
        <v/>
      </c>
      <c r="D239" s="139" t="str">
        <f t="shared" ca="1" si="66"/>
        <v/>
      </c>
      <c r="E239" s="75" t="str">
        <f t="shared" ca="1" si="67"/>
        <v/>
      </c>
      <c r="F239" s="137" t="str">
        <f t="shared" ca="1" si="68"/>
        <v/>
      </c>
      <c r="G239" s="139" t="str">
        <f t="shared" ca="1" si="69"/>
        <v/>
      </c>
      <c r="H239" s="75" t="str">
        <f t="shared" ca="1" si="70"/>
        <v/>
      </c>
      <c r="I239" s="137" t="str">
        <f t="shared" ca="1" si="71"/>
        <v/>
      </c>
      <c r="J239" s="139" t="str">
        <f t="shared" ca="1" si="72"/>
        <v/>
      </c>
      <c r="K239" s="75" t="str">
        <f t="shared" ca="1" si="73"/>
        <v/>
      </c>
      <c r="L239" s="137" t="str">
        <f t="shared" ca="1" si="74"/>
        <v/>
      </c>
      <c r="M239" s="139" t="str">
        <f t="shared" ca="1" si="75"/>
        <v/>
      </c>
      <c r="N239" s="75" t="str">
        <f t="shared" ca="1" si="76"/>
        <v/>
      </c>
      <c r="O239" s="137" t="str">
        <f t="shared" ca="1" si="77"/>
        <v/>
      </c>
    </row>
    <row r="240" spans="1:15" ht="16.5" customHeight="1">
      <c r="A240" s="120">
        <v>29</v>
      </c>
      <c r="B240" s="156" t="str">
        <f>TEXT(투자전략!$G$1+28, "[$-ko-KR]yyyy.mm.dd")</f>
        <v>2021.05.29</v>
      </c>
      <c r="C240" s="134" t="str">
        <f t="shared" ca="1" si="65"/>
        <v/>
      </c>
      <c r="D240" s="138" t="str">
        <f t="shared" ca="1" si="66"/>
        <v/>
      </c>
      <c r="E240" s="73" t="str">
        <f t="shared" ca="1" si="67"/>
        <v/>
      </c>
      <c r="F240" s="136" t="str">
        <f t="shared" ca="1" si="68"/>
        <v/>
      </c>
      <c r="G240" s="138" t="str">
        <f t="shared" ca="1" si="69"/>
        <v/>
      </c>
      <c r="H240" s="73" t="str">
        <f t="shared" ca="1" si="70"/>
        <v/>
      </c>
      <c r="I240" s="136" t="str">
        <f t="shared" ca="1" si="71"/>
        <v/>
      </c>
      <c r="J240" s="138" t="str">
        <f t="shared" ca="1" si="72"/>
        <v/>
      </c>
      <c r="K240" s="73" t="str">
        <f t="shared" ca="1" si="73"/>
        <v/>
      </c>
      <c r="L240" s="136" t="str">
        <f t="shared" ca="1" si="74"/>
        <v/>
      </c>
      <c r="M240" s="138" t="str">
        <f t="shared" ca="1" si="75"/>
        <v/>
      </c>
      <c r="N240" s="73" t="str">
        <f t="shared" ca="1" si="76"/>
        <v/>
      </c>
      <c r="O240" s="136" t="str">
        <f t="shared" ca="1" si="77"/>
        <v/>
      </c>
    </row>
    <row r="241" spans="1:15" ht="16.5" customHeight="1">
      <c r="A241" s="120">
        <v>30</v>
      </c>
      <c r="B241" s="155" t="str">
        <f>TEXT(투자전략!$G$1+29, "[$-ko-KR]yyyy.mm.dd")</f>
        <v>2021.05.30</v>
      </c>
      <c r="C241" s="134" t="str">
        <f t="shared" ca="1" si="65"/>
        <v/>
      </c>
      <c r="D241" s="138" t="str">
        <f t="shared" ca="1" si="66"/>
        <v/>
      </c>
      <c r="E241" s="73" t="str">
        <f t="shared" ca="1" si="67"/>
        <v/>
      </c>
      <c r="F241" s="136" t="str">
        <f t="shared" ca="1" si="68"/>
        <v/>
      </c>
      <c r="G241" s="138" t="str">
        <f t="shared" ca="1" si="69"/>
        <v/>
      </c>
      <c r="H241" s="73" t="str">
        <f t="shared" ca="1" si="70"/>
        <v/>
      </c>
      <c r="I241" s="136" t="str">
        <f t="shared" ca="1" si="71"/>
        <v/>
      </c>
      <c r="J241" s="138" t="str">
        <f t="shared" ca="1" si="72"/>
        <v/>
      </c>
      <c r="K241" s="73" t="str">
        <f t="shared" ca="1" si="73"/>
        <v/>
      </c>
      <c r="L241" s="136" t="str">
        <f t="shared" ca="1" si="74"/>
        <v/>
      </c>
      <c r="M241" s="138" t="str">
        <f t="shared" ca="1" si="75"/>
        <v/>
      </c>
      <c r="N241" s="73" t="str">
        <f t="shared" ca="1" si="76"/>
        <v/>
      </c>
      <c r="O241" s="136" t="str">
        <f t="shared" ca="1" si="77"/>
        <v/>
      </c>
    </row>
    <row r="242" spans="1:15" ht="16.5" customHeight="1" thickBot="1">
      <c r="A242" s="120">
        <v>31</v>
      </c>
      <c r="B242" s="155" t="str">
        <f>TEXT(투자전략!$G$1+30, "[$-ko-KR]yyyy.mm.dd")</f>
        <v>2021.05.31</v>
      </c>
      <c r="C242" s="135" t="str">
        <f t="shared" ca="1" si="65"/>
        <v/>
      </c>
      <c r="D242" s="139" t="str">
        <f t="shared" ca="1" si="66"/>
        <v/>
      </c>
      <c r="E242" s="75" t="str">
        <f t="shared" ca="1" si="67"/>
        <v/>
      </c>
      <c r="F242" s="137" t="str">
        <f t="shared" ca="1" si="68"/>
        <v/>
      </c>
      <c r="G242" s="139" t="str">
        <f t="shared" ca="1" si="69"/>
        <v/>
      </c>
      <c r="H242" s="75" t="str">
        <f t="shared" ca="1" si="70"/>
        <v/>
      </c>
      <c r="I242" s="137" t="str">
        <f t="shared" ca="1" si="71"/>
        <v/>
      </c>
      <c r="J242" s="139" t="str">
        <f t="shared" ca="1" si="72"/>
        <v/>
      </c>
      <c r="K242" s="75" t="str">
        <f t="shared" ca="1" si="73"/>
        <v/>
      </c>
      <c r="L242" s="137" t="str">
        <f t="shared" ca="1" si="74"/>
        <v/>
      </c>
      <c r="M242" s="139" t="str">
        <f t="shared" ca="1" si="75"/>
        <v/>
      </c>
      <c r="N242" s="75" t="str">
        <f t="shared" ca="1" si="76"/>
        <v/>
      </c>
      <c r="O242" s="137" t="str">
        <f t="shared" ca="1" si="77"/>
        <v/>
      </c>
    </row>
    <row r="243" spans="1:15" ht="16.5" customHeight="1" thickBot="1">
      <c r="A243" s="258" t="s">
        <v>319</v>
      </c>
      <c r="B243" s="260"/>
      <c r="C243" s="131" t="s">
        <v>314</v>
      </c>
      <c r="D243" s="149" t="s">
        <v>315</v>
      </c>
      <c r="E243" s="150" t="s">
        <v>316</v>
      </c>
      <c r="F243" s="151" t="s">
        <v>317</v>
      </c>
      <c r="G243" s="149" t="s">
        <v>315</v>
      </c>
      <c r="H243" s="150" t="s">
        <v>316</v>
      </c>
      <c r="I243" s="151" t="s">
        <v>317</v>
      </c>
      <c r="J243" s="149" t="s">
        <v>315</v>
      </c>
      <c r="K243" s="150" t="s">
        <v>316</v>
      </c>
      <c r="L243" s="151" t="s">
        <v>317</v>
      </c>
      <c r="M243" s="149" t="s">
        <v>315</v>
      </c>
      <c r="N243" s="150" t="s">
        <v>316</v>
      </c>
      <c r="O243" s="151" t="s">
        <v>317</v>
      </c>
    </row>
    <row r="244" spans="1:15" ht="16.5" customHeight="1" thickBot="1">
      <c r="A244" s="264"/>
      <c r="B244" s="266"/>
      <c r="C244" s="135">
        <f ca="1">SUM(C212:C242)</f>
        <v>60000000</v>
      </c>
      <c r="D244" s="139">
        <f ca="1">SUM(D212:D242)</f>
        <v>59512290.248807922</v>
      </c>
      <c r="E244" s="75">
        <f ca="1">IFERROR(F244 / (SUM($C212:$C242) / COUNT($C212:$C242)), 0)</f>
        <v>-0.13005593365122115</v>
      </c>
      <c r="F244" s="137">
        <f ca="1">SUM(F212:F242)</f>
        <v>-487709.75119207927</v>
      </c>
      <c r="G244" s="139">
        <f ca="1">SUM(G212:G242)</f>
        <v>59646637.493793353</v>
      </c>
      <c r="H244" s="75">
        <f ca="1">IFERROR(I244 / (SUM($C212:$C242) / COUNT($C212:$C242)), 0)</f>
        <v>-9.4230001655106019E-2</v>
      </c>
      <c r="I244" s="137">
        <f ca="1">SUM(I212:I242)</f>
        <v>-353362.50620664755</v>
      </c>
      <c r="J244" s="139">
        <f ca="1">SUM(J212:J242)</f>
        <v>59822150.744233519</v>
      </c>
      <c r="K244" s="75">
        <f ca="1">IFERROR(L244 / (SUM($C212:$C242) / COUNT($C212:$C242)), 0)</f>
        <v>-4.7426468204396617E-2</v>
      </c>
      <c r="L244" s="137">
        <f ca="1">SUM(L212:L242)</f>
        <v>-177849.2557664873</v>
      </c>
      <c r="M244" s="139">
        <f ca="1">SUM(M212:M242)</f>
        <v>59611852.322415739</v>
      </c>
      <c r="N244" s="75">
        <f ca="1">IFERROR(O244 / (SUM($C212:$C242) / COUNT($C212:$C242)), 0)</f>
        <v>-0.10350604735579993</v>
      </c>
      <c r="O244" s="137">
        <f ca="1">SUM(O212:O242)</f>
        <v>-388147.67758424976</v>
      </c>
    </row>
    <row r="246" spans="1:15" ht="16.5" customHeight="1" thickBot="1"/>
    <row r="247" spans="1:15" ht="16.5" customHeight="1" thickBot="1">
      <c r="A247" s="249" t="str">
        <f>TEXT(투자전략!$G$1, "[$-ko-KR]yyyy년 mm월 ") &amp; "전일대비 상승률 Bottom20 월말결산"</f>
        <v>2021년 05월 전일대비 상승률 Bottom20 월말결산</v>
      </c>
      <c r="B247" s="250"/>
      <c r="C247" s="250"/>
      <c r="D247" s="250"/>
      <c r="E247" s="250"/>
      <c r="F247" s="250"/>
      <c r="G247" s="250"/>
      <c r="H247" s="250"/>
      <c r="I247" s="250"/>
      <c r="J247" s="250"/>
      <c r="K247" s="250"/>
      <c r="L247" s="250"/>
      <c r="M247" s="250"/>
      <c r="N247" s="250"/>
      <c r="O247" s="251"/>
    </row>
    <row r="248" spans="1:15" ht="16.5" customHeight="1" thickBot="1">
      <c r="A248" s="310" t="s">
        <v>320</v>
      </c>
      <c r="B248" s="264" t="s">
        <v>318</v>
      </c>
      <c r="C248" s="266"/>
      <c r="D248" s="264" t="s">
        <v>310</v>
      </c>
      <c r="E248" s="265"/>
      <c r="F248" s="266"/>
      <c r="G248" s="264" t="s">
        <v>311</v>
      </c>
      <c r="H248" s="265"/>
      <c r="I248" s="266"/>
      <c r="J248" s="264" t="s">
        <v>312</v>
      </c>
      <c r="K248" s="265"/>
      <c r="L248" s="266"/>
      <c r="M248" s="264" t="s">
        <v>313</v>
      </c>
      <c r="N248" s="265"/>
      <c r="O248" s="266"/>
    </row>
    <row r="249" spans="1:15" ht="16.5" customHeight="1" thickBot="1">
      <c r="A249" s="314"/>
      <c r="B249" s="156" t="s">
        <v>308</v>
      </c>
      <c r="C249" s="156" t="s">
        <v>42</v>
      </c>
      <c r="D249" s="120" t="s">
        <v>309</v>
      </c>
      <c r="E249" s="132" t="s">
        <v>40</v>
      </c>
      <c r="F249" s="158" t="s">
        <v>41</v>
      </c>
      <c r="G249" s="120" t="s">
        <v>309</v>
      </c>
      <c r="H249" s="132" t="s">
        <v>40</v>
      </c>
      <c r="I249" s="158" t="s">
        <v>41</v>
      </c>
      <c r="J249" s="120" t="s">
        <v>309</v>
      </c>
      <c r="K249" s="132" t="s">
        <v>40</v>
      </c>
      <c r="L249" s="158" t="s">
        <v>41</v>
      </c>
      <c r="M249" s="120" t="s">
        <v>309</v>
      </c>
      <c r="N249" s="132" t="s">
        <v>40</v>
      </c>
      <c r="O249" s="158" t="s">
        <v>41</v>
      </c>
    </row>
    <row r="250" spans="1:15" ht="16.5" customHeight="1">
      <c r="A250" s="156">
        <v>1</v>
      </c>
      <c r="B250" s="156" t="str">
        <f>TEXT(투자전략!$G$1+0, "[$-ko-KR]yyyy.mm.dd")</f>
        <v>2021.05.01</v>
      </c>
      <c r="C250" s="133">
        <f ca="1">IFERROR(COUNTA(INDIRECT($B250&amp;"!A179:A198")) * INDIRECT($B250&amp;"!B199"), "")</f>
        <v>6000000</v>
      </c>
      <c r="D250" s="141">
        <f ca="1">IFERROR($C250 * (1 + E250), "")</f>
        <v>6025352.5779671101</v>
      </c>
      <c r="E250" s="72">
        <f ca="1">IFERROR(INDIRECT($B250&amp;"!E199"), "")</f>
        <v>4.225429661185073E-3</v>
      </c>
      <c r="F250" s="140">
        <f ca="1">IFERROR(INDIRECT($B250&amp;"!F199"), "")</f>
        <v>25352.577967110439</v>
      </c>
      <c r="G250" s="141">
        <f ca="1">IFERROR($C250 * (1 + H250), "")</f>
        <v>5996980.6855061799</v>
      </c>
      <c r="H250" s="72">
        <f ca="1">IFERROR(INDIRECT($B250&amp;"!H199"), "")</f>
        <v>-5.0321908230329965E-4</v>
      </c>
      <c r="I250" s="140">
        <f ca="1">IFERROR(INDIRECT($B250&amp;"!I199"), "")</f>
        <v>-3019.3144938197966</v>
      </c>
      <c r="J250" s="141">
        <f ca="1">IFERROR($C250 * (1 + K250), "")</f>
        <v>6034904.925586124</v>
      </c>
      <c r="K250" s="72">
        <f ca="1">IFERROR(INDIRECT($B250&amp;"!K199"), "")</f>
        <v>5.8174875976873385E-3</v>
      </c>
      <c r="L250" s="140">
        <f ca="1">IFERROR(INDIRECT($B250&amp;"!L199"), "")</f>
        <v>34904.925586124016</v>
      </c>
      <c r="M250" s="141">
        <f ca="1">IFERROR($C250 * (1 + N250), "")</f>
        <v>6031271.9438245064</v>
      </c>
      <c r="N250" s="72">
        <f ca="1">IFERROR(INDIRECT($B250&amp;"!N199"), "")</f>
        <v>5.2119906374178248E-3</v>
      </c>
      <c r="O250" s="140">
        <f ca="1">IFERROR(INDIRECT($B250&amp;"!O199"), "")</f>
        <v>31271.943824506943</v>
      </c>
    </row>
    <row r="251" spans="1:15" ht="16.5" customHeight="1">
      <c r="A251" s="155">
        <v>2</v>
      </c>
      <c r="B251" s="155" t="str">
        <f>TEXT(투자전략!$G$1+1, "[$-ko-KR]yyyy.mm.dd")</f>
        <v>2021.05.02</v>
      </c>
      <c r="C251" s="134">
        <f t="shared" ref="C251:C280" ca="1" si="78">IFERROR(COUNTA(INDIRECT($B251&amp;"!A179:A198")) * INDIRECT($B251&amp;"!B199"), "")</f>
        <v>6000000</v>
      </c>
      <c r="D251" s="138">
        <f t="shared" ref="D251:D280" ca="1" si="79">IFERROR($C251 * (1 + E251), "")</f>
        <v>5959697.9038826097</v>
      </c>
      <c r="E251" s="73">
        <f t="shared" ref="E251:E280" ca="1" si="80">IFERROR(INDIRECT($B251&amp;"!E199"), "")</f>
        <v>-6.7170160195650138E-3</v>
      </c>
      <c r="F251" s="136">
        <f t="shared" ref="F251:F280" ca="1" si="81">IFERROR(INDIRECT($B251&amp;"!F199"), "")</f>
        <v>-40302.096117390087</v>
      </c>
      <c r="G251" s="138">
        <f t="shared" ref="G251:G280" ca="1" si="82">IFERROR($C251 * (1 + H251), "")</f>
        <v>5959870.4826934347</v>
      </c>
      <c r="H251" s="73">
        <f t="shared" ref="H251:H280" ca="1" si="83">IFERROR(INDIRECT($B251&amp;"!H199"), "")</f>
        <v>-6.6882528844275577E-3</v>
      </c>
      <c r="I251" s="136">
        <f t="shared" ref="I251:I280" ca="1" si="84">IFERROR(INDIRECT($B251&amp;"!I199"), "")</f>
        <v>-40129.517306565351</v>
      </c>
      <c r="J251" s="138">
        <f t="shared" ref="J251:J280" ca="1" si="85">IFERROR($C251 * (1 + K251), "")</f>
        <v>5994027.282291309</v>
      </c>
      <c r="K251" s="73">
        <f t="shared" ref="K251:K280" ca="1" si="86">IFERROR(INDIRECT($B251&amp;"!K199"), "")</f>
        <v>-9.9545295144856704E-4</v>
      </c>
      <c r="L251" s="136">
        <f t="shared" ref="L251:L280" ca="1" si="87">IFERROR(INDIRECT($B251&amp;"!L199"), "")</f>
        <v>-5972.7177086913989</v>
      </c>
      <c r="M251" s="138">
        <f t="shared" ref="M251:M280" ca="1" si="88">IFERROR($C251 * (1 + N251), "")</f>
        <v>6026319.5175636429</v>
      </c>
      <c r="N251" s="73">
        <f t="shared" ref="N251:N280" ca="1" si="89">IFERROR(INDIRECT($B251&amp;"!N199"), "")</f>
        <v>4.3865862606072333E-3</v>
      </c>
      <c r="O251" s="136">
        <f t="shared" ref="O251:O280" ca="1" si="90">IFERROR(INDIRECT($B251&amp;"!O199"), "")</f>
        <v>26319.517563643429</v>
      </c>
    </row>
    <row r="252" spans="1:15" ht="16.5" customHeight="1">
      <c r="A252" s="155">
        <v>3</v>
      </c>
      <c r="B252" s="155" t="str">
        <f>TEXT(투자전략!$G$1+2, "[$-ko-KR]yyyy.mm.dd")</f>
        <v>2021.05.03</v>
      </c>
      <c r="C252" s="134">
        <f t="shared" ca="1" si="78"/>
        <v>6000000</v>
      </c>
      <c r="D252" s="138">
        <f t="shared" ca="1" si="79"/>
        <v>6071850.281338485</v>
      </c>
      <c r="E252" s="73">
        <f t="shared" ca="1" si="80"/>
        <v>1.1975046889747402E-2</v>
      </c>
      <c r="F252" s="136">
        <f t="shared" ca="1" si="81"/>
        <v>71850.281338484405</v>
      </c>
      <c r="G252" s="138">
        <f t="shared" ca="1" si="82"/>
        <v>6151029.5048125805</v>
      </c>
      <c r="H252" s="73">
        <f t="shared" ca="1" si="83"/>
        <v>2.5171584135429977E-2</v>
      </c>
      <c r="I252" s="136">
        <f t="shared" ca="1" si="84"/>
        <v>151029.50481257981</v>
      </c>
      <c r="J252" s="138">
        <f t="shared" ca="1" si="85"/>
        <v>6162494.5289060026</v>
      </c>
      <c r="K252" s="73">
        <f t="shared" ca="1" si="86"/>
        <v>2.7082421484333614E-2</v>
      </c>
      <c r="L252" s="136">
        <f t="shared" ca="1" si="87"/>
        <v>162494.52890600168</v>
      </c>
      <c r="M252" s="138">
        <f t="shared" ca="1" si="88"/>
        <v>6130557.5460285367</v>
      </c>
      <c r="N252" s="73">
        <f t="shared" ca="1" si="89"/>
        <v>2.1759591004756114E-2</v>
      </c>
      <c r="O252" s="136">
        <f t="shared" ca="1" si="90"/>
        <v>130557.54602853667</v>
      </c>
    </row>
    <row r="253" spans="1:15" ht="16.5" customHeight="1">
      <c r="A253" s="155">
        <v>4</v>
      </c>
      <c r="B253" s="155" t="str">
        <f>TEXT(투자전략!$G$1+3, "[$-ko-KR]yyyy.mm.dd")</f>
        <v>2021.05.04</v>
      </c>
      <c r="C253" s="134">
        <f t="shared" ca="1" si="78"/>
        <v>6000000</v>
      </c>
      <c r="D253" s="138">
        <f t="shared" ca="1" si="79"/>
        <v>5762140.4655281333</v>
      </c>
      <c r="E253" s="73">
        <f t="shared" ca="1" si="80"/>
        <v>-3.9643255745311128E-2</v>
      </c>
      <c r="F253" s="136">
        <f t="shared" ca="1" si="81"/>
        <v>-237859.53447186679</v>
      </c>
      <c r="G253" s="138">
        <f t="shared" ca="1" si="82"/>
        <v>5824763.0404309658</v>
      </c>
      <c r="H253" s="73">
        <f t="shared" ca="1" si="83"/>
        <v>-2.9206159928172278E-2</v>
      </c>
      <c r="I253" s="136">
        <f t="shared" ca="1" si="84"/>
        <v>-175236.95956903361</v>
      </c>
      <c r="J253" s="138">
        <f t="shared" ca="1" si="85"/>
        <v>5788235.523084146</v>
      </c>
      <c r="K253" s="73">
        <f t="shared" ca="1" si="86"/>
        <v>-3.5294079485975779E-2</v>
      </c>
      <c r="L253" s="136">
        <f t="shared" ca="1" si="87"/>
        <v>-211764.47691585461</v>
      </c>
      <c r="M253" s="138">
        <f t="shared" ca="1" si="88"/>
        <v>5596409.9469873086</v>
      </c>
      <c r="N253" s="73">
        <f t="shared" ca="1" si="89"/>
        <v>-6.7265008835448475E-2</v>
      </c>
      <c r="O253" s="136">
        <f t="shared" ca="1" si="90"/>
        <v>-403590.05301269086</v>
      </c>
    </row>
    <row r="254" spans="1:15" ht="16.5" customHeight="1">
      <c r="A254" s="155">
        <v>5</v>
      </c>
      <c r="B254" s="155" t="str">
        <f>TEXT(투자전략!$G$1+4, "[$-ko-KR]yyyy.mm.dd")</f>
        <v>2021.05.05</v>
      </c>
      <c r="C254" s="134">
        <f t="shared" ca="1" si="78"/>
        <v>3000000</v>
      </c>
      <c r="D254" s="138">
        <f t="shared" ca="1" si="79"/>
        <v>2857823.9727074876</v>
      </c>
      <c r="E254" s="73">
        <f t="shared" ca="1" si="80"/>
        <v>-4.7392009097504052E-2</v>
      </c>
      <c r="F254" s="136">
        <f t="shared" ca="1" si="81"/>
        <v>-142176.02729251215</v>
      </c>
      <c r="G254" s="138">
        <f t="shared" ca="1" si="82"/>
        <v>2914503.427127427</v>
      </c>
      <c r="H254" s="73">
        <f t="shared" ca="1" si="83"/>
        <v>-2.8498857624190993E-2</v>
      </c>
      <c r="I254" s="136">
        <f t="shared" ca="1" si="84"/>
        <v>-85496.572872572986</v>
      </c>
      <c r="J254" s="138">
        <f t="shared" ca="1" si="85"/>
        <v>2881248.0135192964</v>
      </c>
      <c r="K254" s="73">
        <f t="shared" ca="1" si="86"/>
        <v>-3.9583995493567829E-2</v>
      </c>
      <c r="L254" s="136">
        <f t="shared" ca="1" si="87"/>
        <v>-118751.98648070348</v>
      </c>
      <c r="M254" s="138">
        <f t="shared" ca="1" si="88"/>
        <v>2949129.973231947</v>
      </c>
      <c r="N254" s="73">
        <f t="shared" ca="1" si="89"/>
        <v>-1.6956675589350954E-2</v>
      </c>
      <c r="O254" s="136">
        <f t="shared" ca="1" si="90"/>
        <v>-50870.026768052856</v>
      </c>
    </row>
    <row r="255" spans="1:15" ht="16.5" customHeight="1">
      <c r="A255" s="155">
        <v>6</v>
      </c>
      <c r="B255" s="155" t="str">
        <f>TEXT(투자전략!$G$1+5, "[$-ko-KR]yyyy.mm.dd")</f>
        <v>2021.05.06</v>
      </c>
      <c r="C255" s="134">
        <f t="shared" ca="1" si="78"/>
        <v>3000000</v>
      </c>
      <c r="D255" s="138">
        <f t="shared" ca="1" si="79"/>
        <v>3032923.5696568191</v>
      </c>
      <c r="E255" s="73">
        <f t="shared" ca="1" si="80"/>
        <v>1.0974523218939785E-2</v>
      </c>
      <c r="F255" s="136">
        <f t="shared" ca="1" si="81"/>
        <v>32923.56965681936</v>
      </c>
      <c r="G255" s="138">
        <f t="shared" ca="1" si="82"/>
        <v>3029173.7488214332</v>
      </c>
      <c r="H255" s="73">
        <f t="shared" ca="1" si="83"/>
        <v>9.7245829404777676E-3</v>
      </c>
      <c r="I255" s="136">
        <f t="shared" ca="1" si="84"/>
        <v>29173.748821433299</v>
      </c>
      <c r="J255" s="138">
        <f t="shared" ca="1" si="85"/>
        <v>3037321.7469989774</v>
      </c>
      <c r="K255" s="73">
        <f t="shared" ca="1" si="86"/>
        <v>1.2440582332992497E-2</v>
      </c>
      <c r="L255" s="136">
        <f t="shared" ca="1" si="87"/>
        <v>37321.746998977498</v>
      </c>
      <c r="M255" s="138">
        <f t="shared" ca="1" si="88"/>
        <v>3001063.6822244455</v>
      </c>
      <c r="N255" s="73">
        <f t="shared" ca="1" si="89"/>
        <v>3.5456074148180057E-4</v>
      </c>
      <c r="O255" s="136">
        <f t="shared" ca="1" si="90"/>
        <v>1063.6822244454038</v>
      </c>
    </row>
    <row r="256" spans="1:15" ht="16.5" customHeight="1" thickBot="1">
      <c r="A256" s="157">
        <v>7</v>
      </c>
      <c r="B256" s="157" t="str">
        <f>TEXT(투자전략!$G$1+6, "[$-ko-KR]yyyy.mm.dd")</f>
        <v>2021.05.07</v>
      </c>
      <c r="C256" s="134">
        <f t="shared" ca="1" si="78"/>
        <v>3000000</v>
      </c>
      <c r="D256" s="138">
        <f t="shared" ca="1" si="79"/>
        <v>2780552.1730083278</v>
      </c>
      <c r="E256" s="73">
        <f t="shared" ca="1" si="80"/>
        <v>-7.3149275663890678E-2</v>
      </c>
      <c r="F256" s="136">
        <f t="shared" ca="1" si="81"/>
        <v>-219447.82699167202</v>
      </c>
      <c r="G256" s="138">
        <f t="shared" ca="1" si="82"/>
        <v>2836638.1312083574</v>
      </c>
      <c r="H256" s="73">
        <f t="shared" ca="1" si="83"/>
        <v>-5.4453956263880873E-2</v>
      </c>
      <c r="I256" s="136">
        <f t="shared" ca="1" si="84"/>
        <v>-163361.8687916426</v>
      </c>
      <c r="J256" s="138">
        <f t="shared" ca="1" si="85"/>
        <v>2940004.2227224642</v>
      </c>
      <c r="K256" s="73">
        <f t="shared" ca="1" si="86"/>
        <v>-1.9998592425845285E-2</v>
      </c>
      <c r="L256" s="136">
        <f t="shared" ca="1" si="87"/>
        <v>-59995.777277535846</v>
      </c>
      <c r="M256" s="138">
        <f t="shared" ca="1" si="88"/>
        <v>2947624.3279117458</v>
      </c>
      <c r="N256" s="73">
        <f t="shared" ca="1" si="89"/>
        <v>-1.7458557362751391E-2</v>
      </c>
      <c r="O256" s="136">
        <f t="shared" ca="1" si="90"/>
        <v>-52375.67208825417</v>
      </c>
    </row>
    <row r="257" spans="1:15" ht="16.5" customHeight="1">
      <c r="A257" s="156">
        <v>8</v>
      </c>
      <c r="B257" s="156" t="str">
        <f>TEXT(투자전략!$G$1+7, "[$-ko-KR]yyyy.mm.dd")</f>
        <v>2021.05.08</v>
      </c>
      <c r="C257" s="133">
        <f t="shared" ca="1" si="78"/>
        <v>3000000</v>
      </c>
      <c r="D257" s="141">
        <f t="shared" ca="1" si="79"/>
        <v>2928458.3041285169</v>
      </c>
      <c r="E257" s="72">
        <f t="shared" ca="1" si="80"/>
        <v>-2.3847231957161014E-2</v>
      </c>
      <c r="F257" s="140">
        <f t="shared" ca="1" si="81"/>
        <v>-71541.695871483054</v>
      </c>
      <c r="G257" s="141">
        <f t="shared" ca="1" si="82"/>
        <v>2956593.4403385627</v>
      </c>
      <c r="H257" s="72">
        <f t="shared" ca="1" si="83"/>
        <v>-1.4468853220479094E-2</v>
      </c>
      <c r="I257" s="140">
        <f t="shared" ca="1" si="84"/>
        <v>-43406.55966143727</v>
      </c>
      <c r="J257" s="141">
        <f t="shared" ca="1" si="85"/>
        <v>2944041.2443186501</v>
      </c>
      <c r="K257" s="72">
        <f t="shared" ca="1" si="86"/>
        <v>-1.8652918560449917E-2</v>
      </c>
      <c r="L257" s="140">
        <f t="shared" ca="1" si="87"/>
        <v>-55958.755681349743</v>
      </c>
      <c r="M257" s="141">
        <f t="shared" ca="1" si="88"/>
        <v>2940165.1811366268</v>
      </c>
      <c r="N257" s="72">
        <f t="shared" ca="1" si="89"/>
        <v>-1.9944939621124414E-2</v>
      </c>
      <c r="O257" s="140">
        <f t="shared" ca="1" si="90"/>
        <v>-59834.818863373235</v>
      </c>
    </row>
    <row r="258" spans="1:15" ht="16.5" customHeight="1">
      <c r="A258" s="155">
        <v>9</v>
      </c>
      <c r="B258" s="155" t="str">
        <f>TEXT(투자전략!$G$1+8, "[$-ko-KR]yyyy.mm.dd")</f>
        <v>2021.05.09</v>
      </c>
      <c r="C258" s="134">
        <f t="shared" ca="1" si="78"/>
        <v>3000000</v>
      </c>
      <c r="D258" s="138">
        <f t="shared" ca="1" si="79"/>
        <v>2995070.5747460211</v>
      </c>
      <c r="E258" s="73">
        <f t="shared" ca="1" si="80"/>
        <v>-1.6431417513262984E-3</v>
      </c>
      <c r="F258" s="136">
        <f t="shared" ca="1" si="81"/>
        <v>-4929.4252539789049</v>
      </c>
      <c r="G258" s="138">
        <f t="shared" ca="1" si="82"/>
        <v>2945887.6493639452</v>
      </c>
      <c r="H258" s="73">
        <f t="shared" ca="1" si="83"/>
        <v>-1.8037450212018209E-2</v>
      </c>
      <c r="I258" s="136">
        <f t="shared" ca="1" si="84"/>
        <v>-54112.350636054609</v>
      </c>
      <c r="J258" s="138">
        <f t="shared" ca="1" si="85"/>
        <v>2913897.163610959</v>
      </c>
      <c r="K258" s="73">
        <f t="shared" ca="1" si="86"/>
        <v>-2.8700945463013567E-2</v>
      </c>
      <c r="L258" s="136">
        <f t="shared" ca="1" si="87"/>
        <v>-86102.83638904072</v>
      </c>
      <c r="M258" s="138">
        <f t="shared" ca="1" si="88"/>
        <v>2945929.5199583615</v>
      </c>
      <c r="N258" s="73">
        <f t="shared" ca="1" si="89"/>
        <v>-1.8023493347212784E-2</v>
      </c>
      <c r="O258" s="136">
        <f t="shared" ca="1" si="90"/>
        <v>-54070.480041638366</v>
      </c>
    </row>
    <row r="259" spans="1:15" ht="16.5" customHeight="1">
      <c r="A259" s="155">
        <v>10</v>
      </c>
      <c r="B259" s="155" t="str">
        <f>TEXT(투자전략!$G$1+9, "[$-ko-KR]yyyy.mm.dd")</f>
        <v>2021.05.10</v>
      </c>
      <c r="C259" s="134">
        <f t="shared" ca="1" si="78"/>
        <v>3000000</v>
      </c>
      <c r="D259" s="138">
        <f t="shared" ca="1" si="79"/>
        <v>3069791.002509499</v>
      </c>
      <c r="E259" s="73">
        <f t="shared" ca="1" si="80"/>
        <v>2.3263667503166295E-2</v>
      </c>
      <c r="F259" s="136">
        <f t="shared" ca="1" si="81"/>
        <v>69791.002509498881</v>
      </c>
      <c r="G259" s="138">
        <f t="shared" ca="1" si="82"/>
        <v>3069947.7296672021</v>
      </c>
      <c r="H259" s="73">
        <f t="shared" ca="1" si="83"/>
        <v>2.3315909889067479E-2</v>
      </c>
      <c r="I259" s="136">
        <f t="shared" ca="1" si="84"/>
        <v>69947.729667202453</v>
      </c>
      <c r="J259" s="138">
        <f t="shared" ca="1" si="85"/>
        <v>3058358.4998436966</v>
      </c>
      <c r="K259" s="73">
        <f t="shared" ca="1" si="86"/>
        <v>1.945283328123237E-2</v>
      </c>
      <c r="L259" s="136">
        <f t="shared" ca="1" si="87"/>
        <v>58358.499843697115</v>
      </c>
      <c r="M259" s="138">
        <f t="shared" ca="1" si="88"/>
        <v>3017180.8223974947</v>
      </c>
      <c r="N259" s="73">
        <f t="shared" ca="1" si="89"/>
        <v>5.7269407991648088E-3</v>
      </c>
      <c r="O259" s="136">
        <f t="shared" ca="1" si="90"/>
        <v>17180.822397494427</v>
      </c>
    </row>
    <row r="260" spans="1:15" ht="16.5" customHeight="1">
      <c r="A260" s="155">
        <v>11</v>
      </c>
      <c r="B260" s="155" t="str">
        <f>TEXT(투자전략!$G$1+10, "[$-ko-KR]yyyy.mm.dd")</f>
        <v>2021.05.11</v>
      </c>
      <c r="C260" s="134">
        <f t="shared" ca="1" si="78"/>
        <v>3000000</v>
      </c>
      <c r="D260" s="138">
        <f t="shared" ca="1" si="79"/>
        <v>2741496.0531688072</v>
      </c>
      <c r="E260" s="73">
        <f t="shared" ca="1" si="80"/>
        <v>-8.6167982277064181E-2</v>
      </c>
      <c r="F260" s="136">
        <f t="shared" ca="1" si="81"/>
        <v>-258503.94683119259</v>
      </c>
      <c r="G260" s="138">
        <f t="shared" ca="1" si="82"/>
        <v>2836212.6650346192</v>
      </c>
      <c r="H260" s="73">
        <f t="shared" ca="1" si="83"/>
        <v>-5.4595778321793666E-2</v>
      </c>
      <c r="I260" s="136">
        <f t="shared" ca="1" si="84"/>
        <v>-163787.33496538099</v>
      </c>
      <c r="J260" s="138">
        <f t="shared" ca="1" si="85"/>
        <v>2830591.4992716932</v>
      </c>
      <c r="K260" s="73">
        <f t="shared" ca="1" si="86"/>
        <v>-5.6469500242768936E-2</v>
      </c>
      <c r="L260" s="136">
        <f t="shared" ca="1" si="87"/>
        <v>-169408.50072830683</v>
      </c>
      <c r="M260" s="138">
        <f t="shared" ca="1" si="88"/>
        <v>2849463.3383521521</v>
      </c>
      <c r="N260" s="73">
        <f t="shared" ca="1" si="89"/>
        <v>-5.0178887215949319E-2</v>
      </c>
      <c r="O260" s="136">
        <f t="shared" ca="1" si="90"/>
        <v>-150536.66164784797</v>
      </c>
    </row>
    <row r="261" spans="1:15" ht="16.5" customHeight="1">
      <c r="A261" s="155">
        <v>12</v>
      </c>
      <c r="B261" s="155" t="str">
        <f>TEXT(투자전략!$G$1+11, "[$-ko-KR]yyyy.mm.dd")</f>
        <v>2021.05.12</v>
      </c>
      <c r="C261" s="134">
        <f t="shared" ca="1" si="78"/>
        <v>3000000</v>
      </c>
      <c r="D261" s="138">
        <f t="shared" ca="1" si="79"/>
        <v>3176528.6232883516</v>
      </c>
      <c r="E261" s="73">
        <f t="shared" ca="1" si="80"/>
        <v>5.8842874429450562E-2</v>
      </c>
      <c r="F261" s="136">
        <f t="shared" ca="1" si="81"/>
        <v>176528.62328835172</v>
      </c>
      <c r="G261" s="138">
        <f t="shared" ca="1" si="82"/>
        <v>3105212.107697716</v>
      </c>
      <c r="H261" s="73">
        <f t="shared" ca="1" si="83"/>
        <v>3.507070256590529E-2</v>
      </c>
      <c r="I261" s="136">
        <f t="shared" ca="1" si="84"/>
        <v>105212.10769771587</v>
      </c>
      <c r="J261" s="138">
        <f t="shared" ca="1" si="85"/>
        <v>3101318.0260302974</v>
      </c>
      <c r="K261" s="73">
        <f t="shared" ca="1" si="86"/>
        <v>3.3772675343432375E-2</v>
      </c>
      <c r="L261" s="136">
        <f t="shared" ca="1" si="87"/>
        <v>101318.02603029711</v>
      </c>
      <c r="M261" s="138">
        <f t="shared" ca="1" si="88"/>
        <v>3033390.8398351013</v>
      </c>
      <c r="N261" s="73">
        <f t="shared" ca="1" si="89"/>
        <v>1.1130279945033789E-2</v>
      </c>
      <c r="O261" s="136">
        <f t="shared" ca="1" si="90"/>
        <v>33390.839835101375</v>
      </c>
    </row>
    <row r="262" spans="1:15" ht="16.5" customHeight="1">
      <c r="A262" s="155">
        <v>13</v>
      </c>
      <c r="B262" s="155" t="str">
        <f>TEXT(투자전략!$G$1+12, "[$-ko-KR]yyyy.mm.dd")</f>
        <v>2021.05.13</v>
      </c>
      <c r="C262" s="134">
        <f t="shared" ca="1" si="78"/>
        <v>3000000</v>
      </c>
      <c r="D262" s="138">
        <f t="shared" ca="1" si="79"/>
        <v>2710790.3898423831</v>
      </c>
      <c r="E262" s="73">
        <f t="shared" ca="1" si="80"/>
        <v>-9.6403203385872244E-2</v>
      </c>
      <c r="F262" s="136">
        <f t="shared" ca="1" si="81"/>
        <v>-289209.61015761673</v>
      </c>
      <c r="G262" s="138">
        <f t="shared" ca="1" si="82"/>
        <v>2633856.3976531895</v>
      </c>
      <c r="H262" s="73">
        <f t="shared" ca="1" si="83"/>
        <v>-0.12204786744893677</v>
      </c>
      <c r="I262" s="136">
        <f t="shared" ca="1" si="84"/>
        <v>-366143.60234681022</v>
      </c>
      <c r="J262" s="138">
        <f t="shared" ca="1" si="85"/>
        <v>2681296.5485630343</v>
      </c>
      <c r="K262" s="73">
        <f t="shared" ca="1" si="86"/>
        <v>-0.10623448381232192</v>
      </c>
      <c r="L262" s="136">
        <f t="shared" ca="1" si="87"/>
        <v>-318703.45143696573</v>
      </c>
      <c r="M262" s="138">
        <f t="shared" ca="1" si="88"/>
        <v>2667785.8796449183</v>
      </c>
      <c r="N262" s="73">
        <f t="shared" ca="1" si="89"/>
        <v>-0.11073804011836061</v>
      </c>
      <c r="O262" s="136">
        <f t="shared" ca="1" si="90"/>
        <v>-332214.12035508174</v>
      </c>
    </row>
    <row r="263" spans="1:15" ht="16.5" customHeight="1" thickBot="1">
      <c r="A263" s="157">
        <v>14</v>
      </c>
      <c r="B263" s="157" t="str">
        <f>TEXT(투자전략!$G$1+13, "[$-ko-KR]yyyy.mm.dd")</f>
        <v>2021.05.14</v>
      </c>
      <c r="C263" s="135">
        <f t="shared" ca="1" si="78"/>
        <v>3000000</v>
      </c>
      <c r="D263" s="139">
        <f t="shared" ca="1" si="79"/>
        <v>3001484.6435196167</v>
      </c>
      <c r="E263" s="75">
        <f t="shared" ca="1" si="80"/>
        <v>4.9488117320544529E-4</v>
      </c>
      <c r="F263" s="137">
        <f t="shared" ca="1" si="81"/>
        <v>1484.6435196163311</v>
      </c>
      <c r="G263" s="139">
        <f t="shared" ca="1" si="82"/>
        <v>3034036.7535447511</v>
      </c>
      <c r="H263" s="75">
        <f t="shared" ca="1" si="83"/>
        <v>1.1345584514917026E-2</v>
      </c>
      <c r="I263" s="137">
        <f t="shared" ca="1" si="84"/>
        <v>34036.75354475106</v>
      </c>
      <c r="J263" s="139">
        <f t="shared" ca="1" si="85"/>
        <v>3051188.7207487542</v>
      </c>
      <c r="K263" s="75">
        <f t="shared" ca="1" si="86"/>
        <v>1.7062906916251362E-2</v>
      </c>
      <c r="L263" s="137">
        <f t="shared" ca="1" si="87"/>
        <v>51188.720748754095</v>
      </c>
      <c r="M263" s="139">
        <f t="shared" ca="1" si="88"/>
        <v>3055929.9471400003</v>
      </c>
      <c r="N263" s="75">
        <f t="shared" ca="1" si="89"/>
        <v>1.8643315713333362E-2</v>
      </c>
      <c r="O263" s="137">
        <f t="shared" ca="1" si="90"/>
        <v>55929.947140000091</v>
      </c>
    </row>
    <row r="264" spans="1:15" ht="16.5" customHeight="1">
      <c r="A264" s="156">
        <v>15</v>
      </c>
      <c r="B264" s="156" t="str">
        <f>TEXT(투자전략!$G$1+14, "[$-ko-KR]yyyy.mm.dd")</f>
        <v>2021.05.15</v>
      </c>
      <c r="C264" s="134">
        <f t="shared" ca="1" si="78"/>
        <v>3000000</v>
      </c>
      <c r="D264" s="138">
        <f t="shared" ca="1" si="79"/>
        <v>3039477.0551923937</v>
      </c>
      <c r="E264" s="73">
        <f t="shared" ca="1" si="80"/>
        <v>1.3159018397464643E-2</v>
      </c>
      <c r="F264" s="136">
        <f t="shared" ca="1" si="81"/>
        <v>39477.055192393935</v>
      </c>
      <c r="G264" s="138">
        <f t="shared" ca="1" si="82"/>
        <v>2945528.7212198377</v>
      </c>
      <c r="H264" s="73">
        <f t="shared" ca="1" si="83"/>
        <v>-1.8157092926720794E-2</v>
      </c>
      <c r="I264" s="136">
        <f t="shared" ca="1" si="84"/>
        <v>-54471.278780162378</v>
      </c>
      <c r="J264" s="138">
        <f t="shared" ca="1" si="85"/>
        <v>2971391.5968833421</v>
      </c>
      <c r="K264" s="73">
        <f t="shared" ca="1" si="86"/>
        <v>-9.5361343722192102E-3</v>
      </c>
      <c r="L264" s="136">
        <f t="shared" ca="1" si="87"/>
        <v>-28608.403116657624</v>
      </c>
      <c r="M264" s="138">
        <f t="shared" ca="1" si="88"/>
        <v>2990142.3256359906</v>
      </c>
      <c r="N264" s="73">
        <f t="shared" ca="1" si="89"/>
        <v>-3.2858914546697844E-3</v>
      </c>
      <c r="O264" s="136">
        <f t="shared" ca="1" si="90"/>
        <v>-9857.67436400935</v>
      </c>
    </row>
    <row r="265" spans="1:15" ht="16.5" customHeight="1">
      <c r="A265" s="155">
        <v>16</v>
      </c>
      <c r="B265" s="155" t="str">
        <f>TEXT(투자전략!$G$1+15, "[$-ko-KR]yyyy.mm.dd")</f>
        <v>2021.05.16</v>
      </c>
      <c r="C265" s="134">
        <f t="shared" ca="1" si="78"/>
        <v>3000000</v>
      </c>
      <c r="D265" s="138">
        <f t="shared" ca="1" si="79"/>
        <v>3000000</v>
      </c>
      <c r="E265" s="73">
        <f t="shared" ca="1" si="80"/>
        <v>0</v>
      </c>
      <c r="F265" s="136">
        <f t="shared" ca="1" si="81"/>
        <v>0</v>
      </c>
      <c r="G265" s="138">
        <f t="shared" ca="1" si="82"/>
        <v>3000000</v>
      </c>
      <c r="H265" s="73">
        <f t="shared" ca="1" si="83"/>
        <v>0</v>
      </c>
      <c r="I265" s="136">
        <f t="shared" ca="1" si="84"/>
        <v>0</v>
      </c>
      <c r="J265" s="138">
        <f t="shared" ca="1" si="85"/>
        <v>3000000</v>
      </c>
      <c r="K265" s="73">
        <f t="shared" ca="1" si="86"/>
        <v>0</v>
      </c>
      <c r="L265" s="136">
        <f t="shared" ca="1" si="87"/>
        <v>0</v>
      </c>
      <c r="M265" s="138">
        <f t="shared" ca="1" si="88"/>
        <v>3000000</v>
      </c>
      <c r="N265" s="73">
        <f t="shared" ca="1" si="89"/>
        <v>0</v>
      </c>
      <c r="O265" s="136">
        <f t="shared" ca="1" si="90"/>
        <v>0</v>
      </c>
    </row>
    <row r="266" spans="1:15" ht="16.5" customHeight="1">
      <c r="A266" s="155">
        <v>17</v>
      </c>
      <c r="B266" s="155" t="str">
        <f>TEXT(투자전략!$G$1+16, "[$-ko-KR]yyyy.mm.dd")</f>
        <v>2021.05.17</v>
      </c>
      <c r="C266" s="134" t="str">
        <f t="shared" ca="1" si="78"/>
        <v/>
      </c>
      <c r="D266" s="138" t="str">
        <f t="shared" ca="1" si="79"/>
        <v/>
      </c>
      <c r="E266" s="73" t="str">
        <f t="shared" ca="1" si="80"/>
        <v/>
      </c>
      <c r="F266" s="136" t="str">
        <f t="shared" ca="1" si="81"/>
        <v/>
      </c>
      <c r="G266" s="138" t="str">
        <f t="shared" ca="1" si="82"/>
        <v/>
      </c>
      <c r="H266" s="73" t="str">
        <f t="shared" ca="1" si="83"/>
        <v/>
      </c>
      <c r="I266" s="136" t="str">
        <f t="shared" ca="1" si="84"/>
        <v/>
      </c>
      <c r="J266" s="138" t="str">
        <f t="shared" ca="1" si="85"/>
        <v/>
      </c>
      <c r="K266" s="73" t="str">
        <f t="shared" ca="1" si="86"/>
        <v/>
      </c>
      <c r="L266" s="136" t="str">
        <f t="shared" ca="1" si="87"/>
        <v/>
      </c>
      <c r="M266" s="138" t="str">
        <f t="shared" ca="1" si="88"/>
        <v/>
      </c>
      <c r="N266" s="73" t="str">
        <f t="shared" ca="1" si="89"/>
        <v/>
      </c>
      <c r="O266" s="136" t="str">
        <f t="shared" ca="1" si="90"/>
        <v/>
      </c>
    </row>
    <row r="267" spans="1:15" ht="16.5" customHeight="1">
      <c r="A267" s="155">
        <v>18</v>
      </c>
      <c r="B267" s="155" t="str">
        <f>TEXT(투자전략!$G$1+17, "[$-ko-KR]yyyy.mm.dd")</f>
        <v>2021.05.18</v>
      </c>
      <c r="C267" s="134" t="str">
        <f t="shared" ca="1" si="78"/>
        <v/>
      </c>
      <c r="D267" s="138" t="str">
        <f t="shared" ca="1" si="79"/>
        <v/>
      </c>
      <c r="E267" s="73" t="str">
        <f t="shared" ca="1" si="80"/>
        <v/>
      </c>
      <c r="F267" s="136" t="str">
        <f t="shared" ca="1" si="81"/>
        <v/>
      </c>
      <c r="G267" s="138" t="str">
        <f t="shared" ca="1" si="82"/>
        <v/>
      </c>
      <c r="H267" s="73" t="str">
        <f t="shared" ca="1" si="83"/>
        <v/>
      </c>
      <c r="I267" s="136" t="str">
        <f t="shared" ca="1" si="84"/>
        <v/>
      </c>
      <c r="J267" s="138" t="str">
        <f t="shared" ca="1" si="85"/>
        <v/>
      </c>
      <c r="K267" s="73" t="str">
        <f t="shared" ca="1" si="86"/>
        <v/>
      </c>
      <c r="L267" s="136" t="str">
        <f t="shared" ca="1" si="87"/>
        <v/>
      </c>
      <c r="M267" s="138" t="str">
        <f t="shared" ca="1" si="88"/>
        <v/>
      </c>
      <c r="N267" s="73" t="str">
        <f t="shared" ca="1" si="89"/>
        <v/>
      </c>
      <c r="O267" s="136" t="str">
        <f t="shared" ca="1" si="90"/>
        <v/>
      </c>
    </row>
    <row r="268" spans="1:15" ht="16.5" customHeight="1">
      <c r="A268" s="155">
        <v>19</v>
      </c>
      <c r="B268" s="155" t="str">
        <f>TEXT(투자전략!$G$1+18, "[$-ko-KR]yyyy.mm.dd")</f>
        <v>2021.05.19</v>
      </c>
      <c r="C268" s="134" t="str">
        <f t="shared" ca="1" si="78"/>
        <v/>
      </c>
      <c r="D268" s="138" t="str">
        <f t="shared" ca="1" si="79"/>
        <v/>
      </c>
      <c r="E268" s="73" t="str">
        <f t="shared" ca="1" si="80"/>
        <v/>
      </c>
      <c r="F268" s="136" t="str">
        <f t="shared" ca="1" si="81"/>
        <v/>
      </c>
      <c r="G268" s="138" t="str">
        <f t="shared" ca="1" si="82"/>
        <v/>
      </c>
      <c r="H268" s="73" t="str">
        <f t="shared" ca="1" si="83"/>
        <v/>
      </c>
      <c r="I268" s="136" t="str">
        <f t="shared" ca="1" si="84"/>
        <v/>
      </c>
      <c r="J268" s="138" t="str">
        <f t="shared" ca="1" si="85"/>
        <v/>
      </c>
      <c r="K268" s="73" t="str">
        <f t="shared" ca="1" si="86"/>
        <v/>
      </c>
      <c r="L268" s="136" t="str">
        <f t="shared" ca="1" si="87"/>
        <v/>
      </c>
      <c r="M268" s="138" t="str">
        <f t="shared" ca="1" si="88"/>
        <v/>
      </c>
      <c r="N268" s="73" t="str">
        <f t="shared" ca="1" si="89"/>
        <v/>
      </c>
      <c r="O268" s="136" t="str">
        <f t="shared" ca="1" si="90"/>
        <v/>
      </c>
    </row>
    <row r="269" spans="1:15" ht="16.5" customHeight="1">
      <c r="A269" s="155">
        <v>20</v>
      </c>
      <c r="B269" s="155" t="str">
        <f>TEXT(투자전략!$G$1+19, "[$-ko-KR]yyyy.mm.dd")</f>
        <v>2021.05.20</v>
      </c>
      <c r="C269" s="134" t="str">
        <f t="shared" ca="1" si="78"/>
        <v/>
      </c>
      <c r="D269" s="138" t="str">
        <f t="shared" ca="1" si="79"/>
        <v/>
      </c>
      <c r="E269" s="73" t="str">
        <f t="shared" ca="1" si="80"/>
        <v/>
      </c>
      <c r="F269" s="136" t="str">
        <f t="shared" ca="1" si="81"/>
        <v/>
      </c>
      <c r="G269" s="138" t="str">
        <f t="shared" ca="1" si="82"/>
        <v/>
      </c>
      <c r="H269" s="73" t="str">
        <f t="shared" ca="1" si="83"/>
        <v/>
      </c>
      <c r="I269" s="136" t="str">
        <f t="shared" ca="1" si="84"/>
        <v/>
      </c>
      <c r="J269" s="138" t="str">
        <f t="shared" ca="1" si="85"/>
        <v/>
      </c>
      <c r="K269" s="73" t="str">
        <f t="shared" ca="1" si="86"/>
        <v/>
      </c>
      <c r="L269" s="136" t="str">
        <f t="shared" ca="1" si="87"/>
        <v/>
      </c>
      <c r="M269" s="138" t="str">
        <f t="shared" ca="1" si="88"/>
        <v/>
      </c>
      <c r="N269" s="73" t="str">
        <f t="shared" ca="1" si="89"/>
        <v/>
      </c>
      <c r="O269" s="136" t="str">
        <f t="shared" ca="1" si="90"/>
        <v/>
      </c>
    </row>
    <row r="270" spans="1:15" ht="16.5" customHeight="1" thickBot="1">
      <c r="A270" s="157">
        <v>21</v>
      </c>
      <c r="B270" s="157" t="str">
        <f>TEXT(투자전략!$G$1+20, "[$-ko-KR]yyyy.mm.dd")</f>
        <v>2021.05.21</v>
      </c>
      <c r="C270" s="134" t="str">
        <f t="shared" ca="1" si="78"/>
        <v/>
      </c>
      <c r="D270" s="138" t="str">
        <f t="shared" ca="1" si="79"/>
        <v/>
      </c>
      <c r="E270" s="73" t="str">
        <f t="shared" ca="1" si="80"/>
        <v/>
      </c>
      <c r="F270" s="136" t="str">
        <f t="shared" ca="1" si="81"/>
        <v/>
      </c>
      <c r="G270" s="138" t="str">
        <f t="shared" ca="1" si="82"/>
        <v/>
      </c>
      <c r="H270" s="73" t="str">
        <f t="shared" ca="1" si="83"/>
        <v/>
      </c>
      <c r="I270" s="136" t="str">
        <f t="shared" ca="1" si="84"/>
        <v/>
      </c>
      <c r="J270" s="138" t="str">
        <f t="shared" ca="1" si="85"/>
        <v/>
      </c>
      <c r="K270" s="73" t="str">
        <f t="shared" ca="1" si="86"/>
        <v/>
      </c>
      <c r="L270" s="136" t="str">
        <f t="shared" ca="1" si="87"/>
        <v/>
      </c>
      <c r="M270" s="138" t="str">
        <f t="shared" ca="1" si="88"/>
        <v/>
      </c>
      <c r="N270" s="73" t="str">
        <f t="shared" ca="1" si="89"/>
        <v/>
      </c>
      <c r="O270" s="136" t="str">
        <f t="shared" ca="1" si="90"/>
        <v/>
      </c>
    </row>
    <row r="271" spans="1:15" ht="16.5" customHeight="1">
      <c r="A271" s="156">
        <v>22</v>
      </c>
      <c r="B271" s="156" t="str">
        <f>TEXT(투자전략!$G$1+21, "[$-ko-KR]yyyy.mm.dd")</f>
        <v>2021.05.22</v>
      </c>
      <c r="C271" s="133" t="str">
        <f t="shared" ca="1" si="78"/>
        <v/>
      </c>
      <c r="D271" s="141" t="str">
        <f t="shared" ca="1" si="79"/>
        <v/>
      </c>
      <c r="E271" s="72" t="str">
        <f t="shared" ca="1" si="80"/>
        <v/>
      </c>
      <c r="F271" s="140" t="str">
        <f t="shared" ca="1" si="81"/>
        <v/>
      </c>
      <c r="G271" s="141" t="str">
        <f t="shared" ca="1" si="82"/>
        <v/>
      </c>
      <c r="H271" s="72" t="str">
        <f t="shared" ca="1" si="83"/>
        <v/>
      </c>
      <c r="I271" s="140" t="str">
        <f t="shared" ca="1" si="84"/>
        <v/>
      </c>
      <c r="J271" s="141" t="str">
        <f t="shared" ca="1" si="85"/>
        <v/>
      </c>
      <c r="K271" s="72" t="str">
        <f t="shared" ca="1" si="86"/>
        <v/>
      </c>
      <c r="L271" s="140" t="str">
        <f t="shared" ca="1" si="87"/>
        <v/>
      </c>
      <c r="M271" s="141" t="str">
        <f t="shared" ca="1" si="88"/>
        <v/>
      </c>
      <c r="N271" s="72" t="str">
        <f t="shared" ca="1" si="89"/>
        <v/>
      </c>
      <c r="O271" s="140" t="str">
        <f t="shared" ca="1" si="90"/>
        <v/>
      </c>
    </row>
    <row r="272" spans="1:15" ht="16.5" customHeight="1">
      <c r="A272" s="155">
        <v>23</v>
      </c>
      <c r="B272" s="155" t="str">
        <f>TEXT(투자전략!$G$1+22, "[$-ko-KR]yyyy.mm.dd")</f>
        <v>2021.05.23</v>
      </c>
      <c r="C272" s="134" t="str">
        <f t="shared" ca="1" si="78"/>
        <v/>
      </c>
      <c r="D272" s="138" t="str">
        <f t="shared" ca="1" si="79"/>
        <v/>
      </c>
      <c r="E272" s="73" t="str">
        <f t="shared" ca="1" si="80"/>
        <v/>
      </c>
      <c r="F272" s="136" t="str">
        <f t="shared" ca="1" si="81"/>
        <v/>
      </c>
      <c r="G272" s="138" t="str">
        <f t="shared" ca="1" si="82"/>
        <v/>
      </c>
      <c r="H272" s="73" t="str">
        <f t="shared" ca="1" si="83"/>
        <v/>
      </c>
      <c r="I272" s="136" t="str">
        <f t="shared" ca="1" si="84"/>
        <v/>
      </c>
      <c r="J272" s="138" t="str">
        <f t="shared" ca="1" si="85"/>
        <v/>
      </c>
      <c r="K272" s="73" t="str">
        <f t="shared" ca="1" si="86"/>
        <v/>
      </c>
      <c r="L272" s="136" t="str">
        <f t="shared" ca="1" si="87"/>
        <v/>
      </c>
      <c r="M272" s="138" t="str">
        <f t="shared" ca="1" si="88"/>
        <v/>
      </c>
      <c r="N272" s="73" t="str">
        <f t="shared" ca="1" si="89"/>
        <v/>
      </c>
      <c r="O272" s="136" t="str">
        <f t="shared" ca="1" si="90"/>
        <v/>
      </c>
    </row>
    <row r="273" spans="1:15" ht="16.5" customHeight="1">
      <c r="A273" s="155">
        <v>24</v>
      </c>
      <c r="B273" s="155" t="str">
        <f>TEXT(투자전략!$G$1+23, "[$-ko-KR]yyyy.mm.dd")</f>
        <v>2021.05.24</v>
      </c>
      <c r="C273" s="134" t="str">
        <f t="shared" ca="1" si="78"/>
        <v/>
      </c>
      <c r="D273" s="138" t="str">
        <f t="shared" ca="1" si="79"/>
        <v/>
      </c>
      <c r="E273" s="73" t="str">
        <f t="shared" ca="1" si="80"/>
        <v/>
      </c>
      <c r="F273" s="136" t="str">
        <f t="shared" ca="1" si="81"/>
        <v/>
      </c>
      <c r="G273" s="138" t="str">
        <f t="shared" ca="1" si="82"/>
        <v/>
      </c>
      <c r="H273" s="73" t="str">
        <f t="shared" ca="1" si="83"/>
        <v/>
      </c>
      <c r="I273" s="136" t="str">
        <f t="shared" ca="1" si="84"/>
        <v/>
      </c>
      <c r="J273" s="138" t="str">
        <f t="shared" ca="1" si="85"/>
        <v/>
      </c>
      <c r="K273" s="73" t="str">
        <f t="shared" ca="1" si="86"/>
        <v/>
      </c>
      <c r="L273" s="136" t="str">
        <f t="shared" ca="1" si="87"/>
        <v/>
      </c>
      <c r="M273" s="138" t="str">
        <f t="shared" ca="1" si="88"/>
        <v/>
      </c>
      <c r="N273" s="73" t="str">
        <f t="shared" ca="1" si="89"/>
        <v/>
      </c>
      <c r="O273" s="136" t="str">
        <f t="shared" ca="1" si="90"/>
        <v/>
      </c>
    </row>
    <row r="274" spans="1:15" ht="16.5" customHeight="1">
      <c r="A274" s="155">
        <v>25</v>
      </c>
      <c r="B274" s="155" t="str">
        <f>TEXT(투자전략!$G$1+24, "[$-ko-KR]yyyy.mm.dd")</f>
        <v>2021.05.25</v>
      </c>
      <c r="C274" s="134" t="str">
        <f t="shared" ca="1" si="78"/>
        <v/>
      </c>
      <c r="D274" s="138" t="str">
        <f t="shared" ca="1" si="79"/>
        <v/>
      </c>
      <c r="E274" s="73" t="str">
        <f t="shared" ca="1" si="80"/>
        <v/>
      </c>
      <c r="F274" s="136" t="str">
        <f t="shared" ca="1" si="81"/>
        <v/>
      </c>
      <c r="G274" s="138" t="str">
        <f t="shared" ca="1" si="82"/>
        <v/>
      </c>
      <c r="H274" s="73" t="str">
        <f t="shared" ca="1" si="83"/>
        <v/>
      </c>
      <c r="I274" s="136" t="str">
        <f t="shared" ca="1" si="84"/>
        <v/>
      </c>
      <c r="J274" s="138" t="str">
        <f t="shared" ca="1" si="85"/>
        <v/>
      </c>
      <c r="K274" s="73" t="str">
        <f t="shared" ca="1" si="86"/>
        <v/>
      </c>
      <c r="L274" s="136" t="str">
        <f t="shared" ca="1" si="87"/>
        <v/>
      </c>
      <c r="M274" s="138" t="str">
        <f t="shared" ca="1" si="88"/>
        <v/>
      </c>
      <c r="N274" s="73" t="str">
        <f t="shared" ca="1" si="89"/>
        <v/>
      </c>
      <c r="O274" s="136" t="str">
        <f t="shared" ca="1" si="90"/>
        <v/>
      </c>
    </row>
    <row r="275" spans="1:15" ht="16.5" customHeight="1">
      <c r="A275" s="155">
        <v>26</v>
      </c>
      <c r="B275" s="155" t="str">
        <f>TEXT(투자전략!$G$1+25, "[$-ko-KR]yyyy.mm.dd")</f>
        <v>2021.05.26</v>
      </c>
      <c r="C275" s="134" t="str">
        <f t="shared" ca="1" si="78"/>
        <v/>
      </c>
      <c r="D275" s="138" t="str">
        <f t="shared" ca="1" si="79"/>
        <v/>
      </c>
      <c r="E275" s="73" t="str">
        <f t="shared" ca="1" si="80"/>
        <v/>
      </c>
      <c r="F275" s="136" t="str">
        <f t="shared" ca="1" si="81"/>
        <v/>
      </c>
      <c r="G275" s="138" t="str">
        <f t="shared" ca="1" si="82"/>
        <v/>
      </c>
      <c r="H275" s="73" t="str">
        <f t="shared" ca="1" si="83"/>
        <v/>
      </c>
      <c r="I275" s="136" t="str">
        <f t="shared" ca="1" si="84"/>
        <v/>
      </c>
      <c r="J275" s="138" t="str">
        <f t="shared" ca="1" si="85"/>
        <v/>
      </c>
      <c r="K275" s="73" t="str">
        <f t="shared" ca="1" si="86"/>
        <v/>
      </c>
      <c r="L275" s="136" t="str">
        <f t="shared" ca="1" si="87"/>
        <v/>
      </c>
      <c r="M275" s="138" t="str">
        <f t="shared" ca="1" si="88"/>
        <v/>
      </c>
      <c r="N275" s="73" t="str">
        <f t="shared" ca="1" si="89"/>
        <v/>
      </c>
      <c r="O275" s="136" t="str">
        <f t="shared" ca="1" si="90"/>
        <v/>
      </c>
    </row>
    <row r="276" spans="1:15" ht="16.5" customHeight="1">
      <c r="A276" s="155">
        <v>27</v>
      </c>
      <c r="B276" s="155" t="str">
        <f>TEXT(투자전략!$G$1+26, "[$-ko-KR]yyyy.mm.dd")</f>
        <v>2021.05.27</v>
      </c>
      <c r="C276" s="134" t="str">
        <f t="shared" ca="1" si="78"/>
        <v/>
      </c>
      <c r="D276" s="138" t="str">
        <f t="shared" ca="1" si="79"/>
        <v/>
      </c>
      <c r="E276" s="73" t="str">
        <f t="shared" ca="1" si="80"/>
        <v/>
      </c>
      <c r="F276" s="136" t="str">
        <f t="shared" ca="1" si="81"/>
        <v/>
      </c>
      <c r="G276" s="138" t="str">
        <f t="shared" ca="1" si="82"/>
        <v/>
      </c>
      <c r="H276" s="73" t="str">
        <f t="shared" ca="1" si="83"/>
        <v/>
      </c>
      <c r="I276" s="136" t="str">
        <f t="shared" ca="1" si="84"/>
        <v/>
      </c>
      <c r="J276" s="138" t="str">
        <f t="shared" ca="1" si="85"/>
        <v/>
      </c>
      <c r="K276" s="73" t="str">
        <f t="shared" ca="1" si="86"/>
        <v/>
      </c>
      <c r="L276" s="136" t="str">
        <f t="shared" ca="1" si="87"/>
        <v/>
      </c>
      <c r="M276" s="138" t="str">
        <f t="shared" ca="1" si="88"/>
        <v/>
      </c>
      <c r="N276" s="73" t="str">
        <f t="shared" ca="1" si="89"/>
        <v/>
      </c>
      <c r="O276" s="136" t="str">
        <f t="shared" ca="1" si="90"/>
        <v/>
      </c>
    </row>
    <row r="277" spans="1:15" ht="16.5" customHeight="1" thickBot="1">
      <c r="A277" s="157">
        <v>28</v>
      </c>
      <c r="B277" s="157" t="str">
        <f>TEXT(투자전략!$G$1+27, "[$-ko-KR]yyyy.mm.dd")</f>
        <v>2021.05.28</v>
      </c>
      <c r="C277" s="135" t="str">
        <f t="shared" ca="1" si="78"/>
        <v/>
      </c>
      <c r="D277" s="139" t="str">
        <f t="shared" ca="1" si="79"/>
        <v/>
      </c>
      <c r="E277" s="75" t="str">
        <f t="shared" ca="1" si="80"/>
        <v/>
      </c>
      <c r="F277" s="137" t="str">
        <f t="shared" ca="1" si="81"/>
        <v/>
      </c>
      <c r="G277" s="139" t="str">
        <f t="shared" ca="1" si="82"/>
        <v/>
      </c>
      <c r="H277" s="75" t="str">
        <f t="shared" ca="1" si="83"/>
        <v/>
      </c>
      <c r="I277" s="137" t="str">
        <f t="shared" ca="1" si="84"/>
        <v/>
      </c>
      <c r="J277" s="139" t="str">
        <f t="shared" ca="1" si="85"/>
        <v/>
      </c>
      <c r="K277" s="75" t="str">
        <f t="shared" ca="1" si="86"/>
        <v/>
      </c>
      <c r="L277" s="137" t="str">
        <f t="shared" ca="1" si="87"/>
        <v/>
      </c>
      <c r="M277" s="139" t="str">
        <f t="shared" ca="1" si="88"/>
        <v/>
      </c>
      <c r="N277" s="75" t="str">
        <f t="shared" ca="1" si="89"/>
        <v/>
      </c>
      <c r="O277" s="137" t="str">
        <f t="shared" ca="1" si="90"/>
        <v/>
      </c>
    </row>
    <row r="278" spans="1:15" ht="16.5" customHeight="1">
      <c r="A278" s="120">
        <v>29</v>
      </c>
      <c r="B278" s="156" t="str">
        <f>TEXT(투자전략!$G$1+28, "[$-ko-KR]yyyy.mm.dd")</f>
        <v>2021.05.29</v>
      </c>
      <c r="C278" s="134" t="str">
        <f t="shared" ca="1" si="78"/>
        <v/>
      </c>
      <c r="D278" s="138" t="str">
        <f t="shared" ca="1" si="79"/>
        <v/>
      </c>
      <c r="E278" s="73" t="str">
        <f t="shared" ca="1" si="80"/>
        <v/>
      </c>
      <c r="F278" s="136" t="str">
        <f t="shared" ca="1" si="81"/>
        <v/>
      </c>
      <c r="G278" s="138" t="str">
        <f t="shared" ca="1" si="82"/>
        <v/>
      </c>
      <c r="H278" s="73" t="str">
        <f t="shared" ca="1" si="83"/>
        <v/>
      </c>
      <c r="I278" s="136" t="str">
        <f t="shared" ca="1" si="84"/>
        <v/>
      </c>
      <c r="J278" s="138" t="str">
        <f t="shared" ca="1" si="85"/>
        <v/>
      </c>
      <c r="K278" s="73" t="str">
        <f t="shared" ca="1" si="86"/>
        <v/>
      </c>
      <c r="L278" s="136" t="str">
        <f t="shared" ca="1" si="87"/>
        <v/>
      </c>
      <c r="M278" s="138" t="str">
        <f t="shared" ca="1" si="88"/>
        <v/>
      </c>
      <c r="N278" s="73" t="str">
        <f t="shared" ca="1" si="89"/>
        <v/>
      </c>
      <c r="O278" s="136" t="str">
        <f t="shared" ca="1" si="90"/>
        <v/>
      </c>
    </row>
    <row r="279" spans="1:15" ht="16.5" customHeight="1">
      <c r="A279" s="120">
        <v>30</v>
      </c>
      <c r="B279" s="155" t="str">
        <f>TEXT(투자전략!$G$1+29, "[$-ko-KR]yyyy.mm.dd")</f>
        <v>2021.05.30</v>
      </c>
      <c r="C279" s="134" t="str">
        <f t="shared" ca="1" si="78"/>
        <v/>
      </c>
      <c r="D279" s="138" t="str">
        <f t="shared" ca="1" si="79"/>
        <v/>
      </c>
      <c r="E279" s="73" t="str">
        <f t="shared" ca="1" si="80"/>
        <v/>
      </c>
      <c r="F279" s="136" t="str">
        <f t="shared" ca="1" si="81"/>
        <v/>
      </c>
      <c r="G279" s="138" t="str">
        <f t="shared" ca="1" si="82"/>
        <v/>
      </c>
      <c r="H279" s="73" t="str">
        <f t="shared" ca="1" si="83"/>
        <v/>
      </c>
      <c r="I279" s="136" t="str">
        <f t="shared" ca="1" si="84"/>
        <v/>
      </c>
      <c r="J279" s="138" t="str">
        <f t="shared" ca="1" si="85"/>
        <v/>
      </c>
      <c r="K279" s="73" t="str">
        <f t="shared" ca="1" si="86"/>
        <v/>
      </c>
      <c r="L279" s="136" t="str">
        <f t="shared" ca="1" si="87"/>
        <v/>
      </c>
      <c r="M279" s="138" t="str">
        <f t="shared" ca="1" si="88"/>
        <v/>
      </c>
      <c r="N279" s="73" t="str">
        <f t="shared" ca="1" si="89"/>
        <v/>
      </c>
      <c r="O279" s="136" t="str">
        <f t="shared" ca="1" si="90"/>
        <v/>
      </c>
    </row>
    <row r="280" spans="1:15" ht="16.5" customHeight="1" thickBot="1">
      <c r="A280" s="120">
        <v>31</v>
      </c>
      <c r="B280" s="155" t="str">
        <f>TEXT(투자전략!$G$1+30, "[$-ko-KR]yyyy.mm.dd")</f>
        <v>2021.05.31</v>
      </c>
      <c r="C280" s="135" t="str">
        <f t="shared" ca="1" si="78"/>
        <v/>
      </c>
      <c r="D280" s="139" t="str">
        <f t="shared" ca="1" si="79"/>
        <v/>
      </c>
      <c r="E280" s="75" t="str">
        <f t="shared" ca="1" si="80"/>
        <v/>
      </c>
      <c r="F280" s="137" t="str">
        <f t="shared" ca="1" si="81"/>
        <v/>
      </c>
      <c r="G280" s="139" t="str">
        <f t="shared" ca="1" si="82"/>
        <v/>
      </c>
      <c r="H280" s="75" t="str">
        <f t="shared" ca="1" si="83"/>
        <v/>
      </c>
      <c r="I280" s="137" t="str">
        <f t="shared" ca="1" si="84"/>
        <v/>
      </c>
      <c r="J280" s="139" t="str">
        <f t="shared" ca="1" si="85"/>
        <v/>
      </c>
      <c r="K280" s="75" t="str">
        <f t="shared" ca="1" si="86"/>
        <v/>
      </c>
      <c r="L280" s="137" t="str">
        <f t="shared" ca="1" si="87"/>
        <v/>
      </c>
      <c r="M280" s="139" t="str">
        <f t="shared" ca="1" si="88"/>
        <v/>
      </c>
      <c r="N280" s="75" t="str">
        <f t="shared" ca="1" si="89"/>
        <v/>
      </c>
      <c r="O280" s="137" t="str">
        <f t="shared" ca="1" si="90"/>
        <v/>
      </c>
    </row>
    <row r="281" spans="1:15" ht="16.5" customHeight="1" thickBot="1">
      <c r="A281" s="258" t="s">
        <v>319</v>
      </c>
      <c r="B281" s="260"/>
      <c r="C281" s="131" t="s">
        <v>314</v>
      </c>
      <c r="D281" s="149" t="s">
        <v>315</v>
      </c>
      <c r="E281" s="150" t="s">
        <v>316</v>
      </c>
      <c r="F281" s="151" t="s">
        <v>317</v>
      </c>
      <c r="G281" s="149" t="s">
        <v>315</v>
      </c>
      <c r="H281" s="150" t="s">
        <v>316</v>
      </c>
      <c r="I281" s="151" t="s">
        <v>317</v>
      </c>
      <c r="J281" s="149" t="s">
        <v>315</v>
      </c>
      <c r="K281" s="150" t="s">
        <v>316</v>
      </c>
      <c r="L281" s="151" t="s">
        <v>317</v>
      </c>
      <c r="M281" s="149" t="s">
        <v>315</v>
      </c>
      <c r="N281" s="150" t="s">
        <v>316</v>
      </c>
      <c r="O281" s="151" t="s">
        <v>317</v>
      </c>
    </row>
    <row r="282" spans="1:15" ht="16.5" customHeight="1" thickBot="1">
      <c r="A282" s="264"/>
      <c r="B282" s="266"/>
      <c r="C282" s="135">
        <f ca="1">SUM(C250:C280)</f>
        <v>60000000</v>
      </c>
      <c r="D282" s="139">
        <f ca="1">SUM(D250:D280)</f>
        <v>59153437.59048456</v>
      </c>
      <c r="E282" s="75">
        <f ca="1">IFERROR(F282 / (SUM($C250:$C280) / COUNT($C250:$C280)), 0)</f>
        <v>-0.2257499758707833</v>
      </c>
      <c r="F282" s="137">
        <f ca="1">SUM(F250:F280)</f>
        <v>-846562.40951543732</v>
      </c>
      <c r="G282" s="139">
        <f ca="1">SUM(G250:G280)</f>
        <v>59240234.4851202</v>
      </c>
      <c r="H282" s="75">
        <f ca="1">IFERROR(I282 / (SUM($C250:$C280) / COUNT($C250:$C280)), 0)</f>
        <v>-0.2026041373012793</v>
      </c>
      <c r="I282" s="137">
        <f ca="1">SUM(I250:I280)</f>
        <v>-759765.51487979735</v>
      </c>
      <c r="J282" s="139">
        <f ca="1">SUM(J250:J280)</f>
        <v>59390319.542378739</v>
      </c>
      <c r="K282" s="75">
        <f ca="1">IFERROR(L282 / (SUM($C250:$C280) / COUNT($C250:$C280)), 0)</f>
        <v>-0.16258145536566787</v>
      </c>
      <c r="L282" s="137">
        <f ca="1">SUM(L250:L280)</f>
        <v>-609680.45762125449</v>
      </c>
      <c r="M282" s="139">
        <f ca="1">SUM(M250:M280)</f>
        <v>59182364.79187277</v>
      </c>
      <c r="N282" s="75">
        <f ca="1">IFERROR(O282 / (SUM($C250:$C280) / COUNT($C250:$C280)), 0)</f>
        <v>-0.21803605550059207</v>
      </c>
      <c r="O282" s="137">
        <f ca="1">SUM(O250:O280)</f>
        <v>-817635.20812722028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3111" priority="323">
      <formula>$E$54 &gt; 0</formula>
    </cfRule>
    <cfRule type="expression" dxfId="3110" priority="324">
      <formula>$E$54 = 0</formula>
    </cfRule>
    <cfRule type="expression" dxfId="3109" priority="325">
      <formula>$E$54 &lt; 0</formula>
    </cfRule>
  </conditionalFormatting>
  <conditionalFormatting sqref="G20:I21 H54:I54">
    <cfRule type="expression" dxfId="3108" priority="320">
      <formula>$H$54 &gt; 0</formula>
    </cfRule>
    <cfRule type="expression" dxfId="3107" priority="321">
      <formula>$H$54 = 0</formula>
    </cfRule>
    <cfRule type="expression" dxfId="3106" priority="322">
      <formula>$H$54 &lt; 0</formula>
    </cfRule>
  </conditionalFormatting>
  <conditionalFormatting sqref="J20:L21 K54:L54">
    <cfRule type="expression" dxfId="3105" priority="317">
      <formula>$K$54 &gt; 0</formula>
    </cfRule>
    <cfRule type="expression" dxfId="3104" priority="318">
      <formula>$K$54 = 0</formula>
    </cfRule>
    <cfRule type="expression" dxfId="3103" priority="319">
      <formula>$K$54 &lt; 0</formula>
    </cfRule>
  </conditionalFormatting>
  <conditionalFormatting sqref="M20:O21 N54:O54">
    <cfRule type="expression" dxfId="3102" priority="314">
      <formula>$N$54 &gt; 0</formula>
    </cfRule>
    <cfRule type="expression" dxfId="3101" priority="315">
      <formula>$N$54 = 0</formula>
    </cfRule>
    <cfRule type="expression" dxfId="3100" priority="316">
      <formula>$N$54 &lt; 0</formula>
    </cfRule>
  </conditionalFormatting>
  <conditionalFormatting sqref="D22:F52">
    <cfRule type="expression" dxfId="3099" priority="299">
      <formula>AND($E22 &gt; 0, ISNUMBER($E22))</formula>
    </cfRule>
    <cfRule type="expression" dxfId="3098" priority="300">
      <formula>AND($E22 = 0, ISNUMBER($E22))</formula>
    </cfRule>
    <cfRule type="expression" dxfId="3097" priority="301">
      <formula>AND($E22 &lt; 0, ISNUMBER($E22))</formula>
    </cfRule>
  </conditionalFormatting>
  <conditionalFormatting sqref="G22:I52">
    <cfRule type="expression" dxfId="3096" priority="296">
      <formula>AND($H22 &gt; 0, ISNUMBER($H22))</formula>
    </cfRule>
    <cfRule type="expression" dxfId="3095" priority="297">
      <formula>AND($H22 = 0, ISNUMBER($H22))</formula>
    </cfRule>
    <cfRule type="expression" dxfId="3094" priority="298">
      <formula>AND($H22 &lt; 0, ISNUMBER($H22))</formula>
    </cfRule>
  </conditionalFormatting>
  <conditionalFormatting sqref="J22:L52">
    <cfRule type="expression" dxfId="3093" priority="293">
      <formula>AND($K22 &gt; 0, ISNUMBER($K22))</formula>
    </cfRule>
    <cfRule type="expression" dxfId="3092" priority="294">
      <formula>AND($K22 = 0, ISNUMBER($K22))</formula>
    </cfRule>
    <cfRule type="expression" dxfId="3091" priority="295">
      <formula>AND($K22 &lt; 0, ISNUMBER($K22))</formula>
    </cfRule>
  </conditionalFormatting>
  <conditionalFormatting sqref="M22:O52">
    <cfRule type="expression" dxfId="3090" priority="290">
      <formula>AND($N22 &gt; 0, ISNUMBER($N22))</formula>
    </cfRule>
    <cfRule type="expression" dxfId="3089" priority="291">
      <formula>AND($N22 = 0, ISNUMBER($N22))</formula>
    </cfRule>
    <cfRule type="expression" dxfId="3088" priority="292">
      <formula>AND($N22 &lt; 0, ISNUMBER($N22))</formula>
    </cfRule>
  </conditionalFormatting>
  <conditionalFormatting sqref="D58:F59 E92:F92">
    <cfRule type="expression" dxfId="3087" priority="287">
      <formula>$E$92 &gt; 0</formula>
    </cfRule>
    <cfRule type="expression" dxfId="3086" priority="288">
      <formula>$E$92 = 0</formula>
    </cfRule>
    <cfRule type="expression" dxfId="3085" priority="289">
      <formula>$E$92 &lt; 0</formula>
    </cfRule>
  </conditionalFormatting>
  <conditionalFormatting sqref="G58:I59 H92:I92">
    <cfRule type="expression" dxfId="3084" priority="284">
      <formula>$H$92 &gt; 0</formula>
    </cfRule>
    <cfRule type="expression" dxfId="3083" priority="285">
      <formula>$H$92 = 0</formula>
    </cfRule>
    <cfRule type="expression" dxfId="3082" priority="286">
      <formula>$H$92 &lt; 0</formula>
    </cfRule>
  </conditionalFormatting>
  <conditionalFormatting sqref="J58:L59 K92:L92">
    <cfRule type="expression" dxfId="3081" priority="281">
      <formula>$K$92 &gt; 0</formula>
    </cfRule>
    <cfRule type="expression" dxfId="3080" priority="282">
      <formula>$K$92 = 0</formula>
    </cfRule>
    <cfRule type="expression" dxfId="3079" priority="283">
      <formula>$K$92 &lt; 0</formula>
    </cfRule>
  </conditionalFormatting>
  <conditionalFormatting sqref="M58:O59 N92:O92">
    <cfRule type="expression" dxfId="3078" priority="278">
      <formula>$N$92 &gt; 0</formula>
    </cfRule>
    <cfRule type="expression" dxfId="3077" priority="279">
      <formula>$N$92 = 0</formula>
    </cfRule>
    <cfRule type="expression" dxfId="3076" priority="280">
      <formula>$N$92 &lt; 0</formula>
    </cfRule>
  </conditionalFormatting>
  <conditionalFormatting sqref="D60:F90">
    <cfRule type="expression" dxfId="3075" priority="275">
      <formula>AND($E60 &gt; 0, ISNUMBER($E60))</formula>
    </cfRule>
    <cfRule type="expression" dxfId="3074" priority="276">
      <formula>AND($E60 = 0, ISNUMBER($E60))</formula>
    </cfRule>
    <cfRule type="expression" dxfId="3073" priority="277">
      <formula>AND($E60 &lt; 0, ISNUMBER($E60))</formula>
    </cfRule>
  </conditionalFormatting>
  <conditionalFormatting sqref="G60:I90">
    <cfRule type="expression" dxfId="3072" priority="272">
      <formula>AND($H60 &gt; 0, ISNUMBER($H60))</formula>
    </cfRule>
    <cfRule type="expression" dxfId="3071" priority="273">
      <formula>AND($H60 = 0, ISNUMBER($H60))</formula>
    </cfRule>
    <cfRule type="expression" dxfId="3070" priority="274">
      <formula>AND($H60 &lt; 0, ISNUMBER($H60))</formula>
    </cfRule>
  </conditionalFormatting>
  <conditionalFormatting sqref="J60:L90">
    <cfRule type="expression" dxfId="3069" priority="269">
      <formula>AND($K60 &gt; 0, ISNUMBER($K60))</formula>
    </cfRule>
    <cfRule type="expression" dxfId="3068" priority="270">
      <formula>AND($K60 = 0, ISNUMBER($K60))</formula>
    </cfRule>
    <cfRule type="expression" dxfId="3067" priority="271">
      <formula>AND($K60 &lt; 0, ISNUMBER($K60))</formula>
    </cfRule>
  </conditionalFormatting>
  <conditionalFormatting sqref="M60:O90">
    <cfRule type="expression" dxfId="3066" priority="266">
      <formula>AND($N60 &gt; 0, ISNUMBER($N60))</formula>
    </cfRule>
    <cfRule type="expression" dxfId="3065" priority="267">
      <formula>AND($N60 = 0, ISNUMBER($N60))</formula>
    </cfRule>
    <cfRule type="expression" dxfId="3064" priority="268">
      <formula>AND($N60 &lt; 0, ISNUMBER($N60))</formula>
    </cfRule>
  </conditionalFormatting>
  <conditionalFormatting sqref="D96:F97 E130:F130">
    <cfRule type="expression" dxfId="3063" priority="263">
      <formula>$E$130 &gt; 0</formula>
    </cfRule>
    <cfRule type="expression" dxfId="3062" priority="264">
      <formula>$E$130 = 0</formula>
    </cfRule>
    <cfRule type="expression" dxfId="3061" priority="265">
      <formula>$E$130 &lt; 0</formula>
    </cfRule>
  </conditionalFormatting>
  <conditionalFormatting sqref="G96:I97 H130:I130">
    <cfRule type="expression" dxfId="3060" priority="260">
      <formula>$H$130 &gt; 0</formula>
    </cfRule>
    <cfRule type="expression" dxfId="3059" priority="261">
      <formula>$H$130 = 0</formula>
    </cfRule>
    <cfRule type="expression" dxfId="3058" priority="262">
      <formula>$H$130 &lt; 0</formula>
    </cfRule>
  </conditionalFormatting>
  <conditionalFormatting sqref="J96:L97 K130:L130">
    <cfRule type="expression" dxfId="3057" priority="257">
      <formula>$K$130 &gt; 0</formula>
    </cfRule>
    <cfRule type="expression" dxfId="3056" priority="258">
      <formula>$K$130 = 0</formula>
    </cfRule>
    <cfRule type="expression" dxfId="3055" priority="259">
      <formula>$K$130 &lt; 0</formula>
    </cfRule>
  </conditionalFormatting>
  <conditionalFormatting sqref="M96:O97 N130:O130">
    <cfRule type="expression" dxfId="3054" priority="254">
      <formula>$N$130 &gt; 0</formula>
    </cfRule>
    <cfRule type="expression" dxfId="3053" priority="255">
      <formula>$N$130 = 0</formula>
    </cfRule>
    <cfRule type="expression" dxfId="3052" priority="256">
      <formula>$N$130 &lt; 0</formula>
    </cfRule>
  </conditionalFormatting>
  <conditionalFormatting sqref="D98:F128">
    <cfRule type="expression" dxfId="3051" priority="251">
      <formula>AND($E98 &gt; 0, ISNUMBER($E98))</formula>
    </cfRule>
    <cfRule type="expression" dxfId="3050" priority="252">
      <formula>AND($E98 = 0, ISNUMBER($E98))</formula>
    </cfRule>
    <cfRule type="expression" dxfId="3049" priority="253">
      <formula>AND($E98 &lt; 0, ISNUMBER($E98))</formula>
    </cfRule>
  </conditionalFormatting>
  <conditionalFormatting sqref="G98:I128">
    <cfRule type="expression" dxfId="3048" priority="248">
      <formula>AND($H98 &gt; 0, ISNUMBER($H98))</formula>
    </cfRule>
    <cfRule type="expression" dxfId="3047" priority="249">
      <formula>AND($H98 = 0, ISNUMBER($H98))</formula>
    </cfRule>
    <cfRule type="expression" dxfId="3046" priority="250">
      <formula>AND($H98 &lt; 0, ISNUMBER($H98))</formula>
    </cfRule>
  </conditionalFormatting>
  <conditionalFormatting sqref="J98:L128">
    <cfRule type="expression" dxfId="3045" priority="245">
      <formula>AND($K98 &gt; 0, ISNUMBER($K98))</formula>
    </cfRule>
    <cfRule type="expression" dxfId="3044" priority="246">
      <formula>AND($K98 = 0, ISNUMBER($K98))</formula>
    </cfRule>
    <cfRule type="expression" dxfId="3043" priority="247">
      <formula>AND($K98 &lt; 0, ISNUMBER($K98))</formula>
    </cfRule>
  </conditionalFormatting>
  <conditionalFormatting sqref="M98:O128">
    <cfRule type="expression" dxfId="3042" priority="242">
      <formula>AND($N98 &gt; 0, ISNUMBER($N98))</formula>
    </cfRule>
    <cfRule type="expression" dxfId="3041" priority="243">
      <formula>AND($N98 = 0, ISNUMBER($N98))</formula>
    </cfRule>
    <cfRule type="expression" dxfId="3040" priority="244">
      <formula>AND($N98 &lt; 0, ISNUMBER($N98))</formula>
    </cfRule>
  </conditionalFormatting>
  <conditionalFormatting sqref="D134:F135 E168:F168">
    <cfRule type="expression" dxfId="3039" priority="239">
      <formula>$E$168 &gt; 0</formula>
    </cfRule>
    <cfRule type="expression" dxfId="3038" priority="240">
      <formula>$E$168 = 0</formula>
    </cfRule>
    <cfRule type="expression" dxfId="3037" priority="241">
      <formula>$E$168 &lt; 0</formula>
    </cfRule>
  </conditionalFormatting>
  <conditionalFormatting sqref="G134:I135 H168:I168">
    <cfRule type="expression" dxfId="3036" priority="236">
      <formula>$H$168 &gt; 0</formula>
    </cfRule>
    <cfRule type="expression" dxfId="3035" priority="237">
      <formula>$H$168 = 0</formula>
    </cfRule>
    <cfRule type="expression" dxfId="3034" priority="238">
      <formula>$H$168 &lt; 0</formula>
    </cfRule>
  </conditionalFormatting>
  <conditionalFormatting sqref="J134:L135 K168:L168">
    <cfRule type="expression" dxfId="3033" priority="233">
      <formula>$K$168 &gt; 0</formula>
    </cfRule>
    <cfRule type="expression" dxfId="3032" priority="234">
      <formula>$K$168 = 0</formula>
    </cfRule>
    <cfRule type="expression" dxfId="3031" priority="235">
      <formula>$K$168 &lt; 0</formula>
    </cfRule>
  </conditionalFormatting>
  <conditionalFormatting sqref="M134:O135 N168:O168">
    <cfRule type="expression" dxfId="3030" priority="230">
      <formula>$N$168 &gt; 0</formula>
    </cfRule>
    <cfRule type="expression" dxfId="3029" priority="231">
      <formula>$N$168 = 0</formula>
    </cfRule>
    <cfRule type="expression" dxfId="3028" priority="232">
      <formula>$N$168 &lt; 0</formula>
    </cfRule>
  </conditionalFormatting>
  <conditionalFormatting sqref="D136:F166">
    <cfRule type="expression" dxfId="3027" priority="227">
      <formula>AND($E136 &gt; 0, ISNUMBER($E136))</formula>
    </cfRule>
    <cfRule type="expression" dxfId="3026" priority="228">
      <formula>AND($E136 = 0, ISNUMBER($E136))</formula>
    </cfRule>
    <cfRule type="expression" dxfId="3025" priority="229">
      <formula>AND($E136 &lt; 0, ISNUMBER($E136))</formula>
    </cfRule>
  </conditionalFormatting>
  <conditionalFormatting sqref="G136:I166">
    <cfRule type="expression" dxfId="3024" priority="224">
      <formula>AND($H136 &gt; 0, ISNUMBER($H136))</formula>
    </cfRule>
    <cfRule type="expression" dxfId="3023" priority="225">
      <formula>AND($H136 = 0, ISNUMBER($H136))</formula>
    </cfRule>
    <cfRule type="expression" dxfId="3022" priority="226">
      <formula>AND($H136 &lt; 0, ISNUMBER($H136))</formula>
    </cfRule>
  </conditionalFormatting>
  <conditionalFormatting sqref="J136:L166">
    <cfRule type="expression" dxfId="3021" priority="221">
      <formula>AND($K136 &gt; 0, ISNUMBER($K136))</formula>
    </cfRule>
    <cfRule type="expression" dxfId="3020" priority="222">
      <formula>AND($K136 = 0, ISNUMBER($K136))</formula>
    </cfRule>
    <cfRule type="expression" dxfId="3019" priority="223">
      <formula>AND($K136 &lt; 0, ISNUMBER($K136))</formula>
    </cfRule>
  </conditionalFormatting>
  <conditionalFormatting sqref="M136:O166">
    <cfRule type="expression" dxfId="3018" priority="218">
      <formula>AND($N136 &gt; 0, ISNUMBER($N136))</formula>
    </cfRule>
    <cfRule type="expression" dxfId="3017" priority="219">
      <formula>AND($N136 = 0, ISNUMBER($N136))</formula>
    </cfRule>
    <cfRule type="expression" dxfId="3016" priority="220">
      <formula>AND($N136 &lt; 0, ISNUMBER($N136))</formula>
    </cfRule>
  </conditionalFormatting>
  <conditionalFormatting sqref="D172:F173 E206:F206">
    <cfRule type="expression" dxfId="3015" priority="215">
      <formula>$E$206 &gt; 0</formula>
    </cfRule>
    <cfRule type="expression" dxfId="3014" priority="216">
      <formula>$E$206 = 0</formula>
    </cfRule>
    <cfRule type="expression" dxfId="3013" priority="217">
      <formula>$E$206 &lt; 0</formula>
    </cfRule>
  </conditionalFormatting>
  <conditionalFormatting sqref="G172:I173 H206:I206">
    <cfRule type="expression" dxfId="3012" priority="212">
      <formula>$H$206 &gt; 0</formula>
    </cfRule>
    <cfRule type="expression" dxfId="3011" priority="213">
      <formula>$H$206 = 0</formula>
    </cfRule>
    <cfRule type="expression" dxfId="3010" priority="214">
      <formula>$H$206 &lt; 0</formula>
    </cfRule>
  </conditionalFormatting>
  <conditionalFormatting sqref="J172:L173 K206:L206">
    <cfRule type="expression" dxfId="3009" priority="209">
      <formula>$K$206 &gt; 0</formula>
    </cfRule>
    <cfRule type="expression" dxfId="3008" priority="210">
      <formula>$K$206 = 0</formula>
    </cfRule>
    <cfRule type="expression" dxfId="3007" priority="211">
      <formula>$K$206 &lt; 0</formula>
    </cfRule>
  </conditionalFormatting>
  <conditionalFormatting sqref="M172:O173 N206:O206">
    <cfRule type="expression" dxfId="3006" priority="206">
      <formula>$N$206 &gt; 0</formula>
    </cfRule>
    <cfRule type="expression" dxfId="3005" priority="207">
      <formula>$N$206 = 0</formula>
    </cfRule>
    <cfRule type="expression" dxfId="3004" priority="208">
      <formula>$N$206 &lt; 0</formula>
    </cfRule>
  </conditionalFormatting>
  <conditionalFormatting sqref="D174:F204">
    <cfRule type="expression" dxfId="3003" priority="203">
      <formula>AND($E174 &gt; 0, ISNUMBER($E174))</formula>
    </cfRule>
    <cfRule type="expression" dxfId="3002" priority="204">
      <formula>AND($E174 = 0, ISNUMBER($E174))</formula>
    </cfRule>
    <cfRule type="expression" dxfId="3001" priority="205">
      <formula>AND($E174 &lt; 0, ISNUMBER($E174))</formula>
    </cfRule>
  </conditionalFormatting>
  <conditionalFormatting sqref="G174:I204">
    <cfRule type="expression" dxfId="3000" priority="200">
      <formula>AND($H174 &gt; 0, ISNUMBER($H174))</formula>
    </cfRule>
    <cfRule type="expression" dxfId="2999" priority="201">
      <formula>AND($H174 = 0, ISNUMBER($H174))</formula>
    </cfRule>
    <cfRule type="expression" dxfId="2998" priority="202">
      <formula>AND($H174 &lt; 0, ISNUMBER($H174))</formula>
    </cfRule>
  </conditionalFormatting>
  <conditionalFormatting sqref="J174:L204">
    <cfRule type="expression" dxfId="2997" priority="197">
      <formula>AND($K174 &gt; 0, ISNUMBER($K174))</formula>
    </cfRule>
    <cfRule type="expression" dxfId="2996" priority="198">
      <formula>AND($K174 = 0, ISNUMBER($K174))</formula>
    </cfRule>
    <cfRule type="expression" dxfId="2995" priority="199">
      <formula>AND($K174 &lt; 0, ISNUMBER($K174))</formula>
    </cfRule>
  </conditionalFormatting>
  <conditionalFormatting sqref="M174:O204">
    <cfRule type="expression" dxfId="2994" priority="194">
      <formula>AND($N174 &gt; 0, ISNUMBER($N174))</formula>
    </cfRule>
    <cfRule type="expression" dxfId="2993" priority="195">
      <formula>AND($N174 = 0, ISNUMBER($N174))</formula>
    </cfRule>
    <cfRule type="expression" dxfId="2992" priority="196">
      <formula>AND($N174 &lt; 0, ISNUMBER($N174))</formula>
    </cfRule>
  </conditionalFormatting>
  <conditionalFormatting sqref="D210:F211 E244:F244">
    <cfRule type="expression" dxfId="2991" priority="191">
      <formula>$E$244 &gt; 0</formula>
    </cfRule>
    <cfRule type="expression" dxfId="2990" priority="192">
      <formula>$E$244 = 0</formula>
    </cfRule>
    <cfRule type="expression" dxfId="2989" priority="193">
      <formula>$E$244 &lt; 0</formula>
    </cfRule>
  </conditionalFormatting>
  <conditionalFormatting sqref="G210:I211 H244:I244">
    <cfRule type="expression" dxfId="2988" priority="188">
      <formula>$H$244 &gt; 0</formula>
    </cfRule>
    <cfRule type="expression" dxfId="2987" priority="189">
      <formula>$H$244 = 0</formula>
    </cfRule>
    <cfRule type="expression" dxfId="2986" priority="190">
      <formula>$H$244 &lt; 0</formula>
    </cfRule>
  </conditionalFormatting>
  <conditionalFormatting sqref="J210:L211 K244:L244">
    <cfRule type="expression" dxfId="2985" priority="185">
      <formula>$K$244 &gt; 0</formula>
    </cfRule>
    <cfRule type="expression" dxfId="2984" priority="186">
      <formula>$K$244 = 0</formula>
    </cfRule>
    <cfRule type="expression" dxfId="2983" priority="187">
      <formula>$K$244 &lt; 0</formula>
    </cfRule>
  </conditionalFormatting>
  <conditionalFormatting sqref="M210:O211 N244:O244">
    <cfRule type="expression" dxfId="2982" priority="182">
      <formula>$N$244 &gt; 0</formula>
    </cfRule>
    <cfRule type="expression" dxfId="2981" priority="183">
      <formula>$N$244 = 0</formula>
    </cfRule>
    <cfRule type="expression" dxfId="2980" priority="184">
      <formula>$N$244 &lt; 0</formula>
    </cfRule>
  </conditionalFormatting>
  <conditionalFormatting sqref="D212:F242">
    <cfRule type="expression" dxfId="2979" priority="179">
      <formula>AND($E212 &gt; 0, ISNUMBER($E212))</formula>
    </cfRule>
    <cfRule type="expression" dxfId="2978" priority="180">
      <formula>AND($E212 = 0, ISNUMBER($E212))</formula>
    </cfRule>
    <cfRule type="expression" dxfId="2977" priority="181">
      <formula>AND($E212 &lt; 0, ISNUMBER($E212))</formula>
    </cfRule>
  </conditionalFormatting>
  <conditionalFormatting sqref="G212:I242">
    <cfRule type="expression" dxfId="2976" priority="176">
      <formula>AND($H212 &gt; 0, ISNUMBER($H212))</formula>
    </cfRule>
    <cfRule type="expression" dxfId="2975" priority="177">
      <formula>AND($H212 = 0, ISNUMBER($H212))</formula>
    </cfRule>
    <cfRule type="expression" dxfId="2974" priority="178">
      <formula>AND($H212 &lt; 0, ISNUMBER($H212))</formula>
    </cfRule>
  </conditionalFormatting>
  <conditionalFormatting sqref="J212:L242">
    <cfRule type="expression" dxfId="2973" priority="173">
      <formula>AND($K212 &gt; 0, ISNUMBER($K212))</formula>
    </cfRule>
    <cfRule type="expression" dxfId="2972" priority="174">
      <formula>AND($K212 = 0, ISNUMBER($K212))</formula>
    </cfRule>
    <cfRule type="expression" dxfId="2971" priority="175">
      <formula>AND($K212 &lt; 0, ISNUMBER($K212))</formula>
    </cfRule>
  </conditionalFormatting>
  <conditionalFormatting sqref="M212:O242">
    <cfRule type="expression" dxfId="2970" priority="170">
      <formula>AND($N212 &gt; 0, ISNUMBER($N212))</formula>
    </cfRule>
    <cfRule type="expression" dxfId="2969" priority="171">
      <formula>AND($N212 = 0, ISNUMBER($N212))</formula>
    </cfRule>
    <cfRule type="expression" dxfId="2968" priority="172">
      <formula>AND($N212 &lt; 0, ISNUMBER($N212))</formula>
    </cfRule>
  </conditionalFormatting>
  <conditionalFormatting sqref="D248:F249 E282:F282">
    <cfRule type="expression" dxfId="2967" priority="167">
      <formula>$E$282 &gt; 0</formula>
    </cfRule>
    <cfRule type="expression" dxfId="2966" priority="168">
      <formula>$E$282 = 0</formula>
    </cfRule>
    <cfRule type="expression" dxfId="2965" priority="169">
      <formula>$E$282 &lt; 0</formula>
    </cfRule>
  </conditionalFormatting>
  <conditionalFormatting sqref="G248:I249 H282:I282">
    <cfRule type="expression" dxfId="2964" priority="164">
      <formula>$H$282 &gt; 0</formula>
    </cfRule>
    <cfRule type="expression" dxfId="2963" priority="165">
      <formula>$H$282 = 0</formula>
    </cfRule>
    <cfRule type="expression" dxfId="2962" priority="166">
      <formula>$H$282 &lt; 0</formula>
    </cfRule>
  </conditionalFormatting>
  <conditionalFormatting sqref="J248:L249 K282:L282">
    <cfRule type="expression" dxfId="2961" priority="161">
      <formula>$K$282 &gt; 0</formula>
    </cfRule>
    <cfRule type="expression" dxfId="2960" priority="162">
      <formula>$K$282 = 0</formula>
    </cfRule>
    <cfRule type="expression" dxfId="2959" priority="163">
      <formula>$K$282 &lt; 0</formula>
    </cfRule>
  </conditionalFormatting>
  <conditionalFormatting sqref="M248:O249 N282:O282">
    <cfRule type="expression" dxfId="2958" priority="158">
      <formula>$N$282 &gt; 0</formula>
    </cfRule>
    <cfRule type="expression" dxfId="2957" priority="159">
      <formula>$N$282 = 0</formula>
    </cfRule>
    <cfRule type="expression" dxfId="2956" priority="160">
      <formula>$N$282 &lt; 0</formula>
    </cfRule>
  </conditionalFormatting>
  <conditionalFormatting sqref="D250:F280">
    <cfRule type="expression" dxfId="2955" priority="155">
      <formula>AND($E250 &gt; 0, ISNUMBER($E250))</formula>
    </cfRule>
    <cfRule type="expression" dxfId="2954" priority="156">
      <formula>AND($E250 = 0, ISNUMBER($E250))</formula>
    </cfRule>
    <cfRule type="expression" dxfId="2953" priority="157">
      <formula>AND($E250 &lt; 0, ISNUMBER($E250))</formula>
    </cfRule>
  </conditionalFormatting>
  <conditionalFormatting sqref="G250:I280">
    <cfRule type="expression" dxfId="2952" priority="152">
      <formula>AND($H250 &gt; 0, ISNUMBER($H250))</formula>
    </cfRule>
    <cfRule type="expression" dxfId="2951" priority="153">
      <formula>AND($H250 = 0, ISNUMBER($H250))</formula>
    </cfRule>
    <cfRule type="expression" dxfId="2950" priority="154">
      <formula>AND($H250 &lt; 0, ISNUMBER($H250))</formula>
    </cfRule>
  </conditionalFormatting>
  <conditionalFormatting sqref="J250:L280">
    <cfRule type="expression" dxfId="2949" priority="149">
      <formula>AND($K250 &gt; 0, ISNUMBER($K250))</formula>
    </cfRule>
    <cfRule type="expression" dxfId="2948" priority="150">
      <formula>AND($K250 = 0, ISNUMBER($K250))</formula>
    </cfRule>
    <cfRule type="expression" dxfId="2947" priority="151">
      <formula>AND($K250 &lt; 0, ISNUMBER($K250))</formula>
    </cfRule>
  </conditionalFormatting>
  <conditionalFormatting sqref="M250:O280">
    <cfRule type="expression" dxfId="2946" priority="146">
      <formula>AND($N250 &gt; 0, ISNUMBER($N250))</formula>
    </cfRule>
    <cfRule type="expression" dxfId="2945" priority="147">
      <formula>AND($N250 = 0, ISNUMBER($N250))</formula>
    </cfRule>
    <cfRule type="expression" dxfId="2944" priority="148">
      <formula>AND($N250 &lt; 0, ISNUMBER($N250))</formula>
    </cfRule>
  </conditionalFormatting>
  <conditionalFormatting sqref="D5:F6">
    <cfRule type="expression" dxfId="2943" priority="143">
      <formula>$F$130 &gt; 0</formula>
    </cfRule>
    <cfRule type="expression" dxfId="2942" priority="144">
      <formula>$F$130 = 0</formula>
    </cfRule>
    <cfRule type="expression" dxfId="2941" priority="145">
      <formula>$F$130 &lt; 0</formula>
    </cfRule>
  </conditionalFormatting>
  <conditionalFormatting sqref="D7:F8">
    <cfRule type="expression" dxfId="2940" priority="140">
      <formula>$F$206 &gt; 0</formula>
    </cfRule>
    <cfRule type="expression" dxfId="2939" priority="141">
      <formula>$F$206 = 0</formula>
    </cfRule>
    <cfRule type="expression" dxfId="2938" priority="142">
      <formula>$F$206 &lt; 0</formula>
    </cfRule>
  </conditionalFormatting>
  <conditionalFormatting sqref="D9:F10">
    <cfRule type="expression" dxfId="2937" priority="137">
      <formula>$F$244 &gt; 0</formula>
    </cfRule>
    <cfRule type="expression" dxfId="2936" priority="138">
      <formula>$F$244 = 0</formula>
    </cfRule>
    <cfRule type="expression" dxfId="2935" priority="139">
      <formula>$F$244 &lt; 0</formula>
    </cfRule>
  </conditionalFormatting>
  <conditionalFormatting sqref="D11:F12">
    <cfRule type="expression" dxfId="2934" priority="134">
      <formula>$F$168 &gt; 0</formula>
    </cfRule>
    <cfRule type="expression" dxfId="2933" priority="135">
      <formula>$F$168 = 0</formula>
    </cfRule>
    <cfRule type="expression" dxfId="2932" priority="136">
      <formula>$F$168 &lt; 0</formula>
    </cfRule>
  </conditionalFormatting>
  <conditionalFormatting sqref="D13:F14">
    <cfRule type="expression" dxfId="2931" priority="92">
      <formula>$F$282 &gt; 0</formula>
    </cfRule>
    <cfRule type="expression" dxfId="2930" priority="93">
      <formula>$F$282 = 0</formula>
    </cfRule>
    <cfRule type="expression" dxfId="2929" priority="94">
      <formula>$F$282 &lt; 0</formula>
    </cfRule>
  </conditionalFormatting>
  <conditionalFormatting sqref="D15:F16">
    <cfRule type="expression" dxfId="2928" priority="77">
      <formula>$F$54 &gt; 0</formula>
    </cfRule>
    <cfRule type="expression" dxfId="2927" priority="78">
      <formula>$F$54 = 0</formula>
    </cfRule>
    <cfRule type="expression" dxfId="2926" priority="79">
      <formula>$F$54 &lt; 0</formula>
    </cfRule>
  </conditionalFormatting>
  <conditionalFormatting sqref="G5:I6">
    <cfRule type="expression" dxfId="2925" priority="65">
      <formula>$I$130 &gt; 0</formula>
    </cfRule>
    <cfRule type="expression" dxfId="2924" priority="66">
      <formula>$I$130 = 0</formula>
    </cfRule>
    <cfRule type="expression" dxfId="2923" priority="67">
      <formula>$I$130 &lt; 0</formula>
    </cfRule>
  </conditionalFormatting>
  <conditionalFormatting sqref="G7:I8">
    <cfRule type="expression" dxfId="2922" priority="62">
      <formula>$I$206 &gt; 0</formula>
    </cfRule>
    <cfRule type="expression" dxfId="2921" priority="63">
      <formula>$I$206 = 0</formula>
    </cfRule>
    <cfRule type="expression" dxfId="2920" priority="64">
      <formula>$I$206 &lt; 0</formula>
    </cfRule>
  </conditionalFormatting>
  <conditionalFormatting sqref="G9:I10">
    <cfRule type="expression" dxfId="2919" priority="59">
      <formula>$I$244 &gt; 0</formula>
    </cfRule>
    <cfRule type="expression" dxfId="2918" priority="60">
      <formula>$I$244 = 0</formula>
    </cfRule>
    <cfRule type="expression" dxfId="2917" priority="61">
      <formula>$I$244 &lt; 0</formula>
    </cfRule>
  </conditionalFormatting>
  <conditionalFormatting sqref="G11:I12">
    <cfRule type="expression" dxfId="2916" priority="56">
      <formula>$I$168 &gt; 0</formula>
    </cfRule>
    <cfRule type="expression" dxfId="2915" priority="57">
      <formula>$I$168 = 0</formula>
    </cfRule>
    <cfRule type="expression" dxfId="2914" priority="58">
      <formula>$I$168 &lt; 0</formula>
    </cfRule>
  </conditionalFormatting>
  <conditionalFormatting sqref="G13:I14">
    <cfRule type="expression" dxfId="2913" priority="53">
      <formula>$I$282 &gt; 0</formula>
    </cfRule>
    <cfRule type="expression" dxfId="2912" priority="54">
      <formula>$I$282 = 0</formula>
    </cfRule>
    <cfRule type="expression" dxfId="2911" priority="55">
      <formula>$I$282 &lt; 0</formula>
    </cfRule>
  </conditionalFormatting>
  <conditionalFormatting sqref="G15:I16">
    <cfRule type="expression" dxfId="2910" priority="50">
      <formula>$I$54 &gt; 0</formula>
    </cfRule>
    <cfRule type="expression" dxfId="2909" priority="51">
      <formula>$I$54 = 0</formula>
    </cfRule>
    <cfRule type="expression" dxfId="2908" priority="52">
      <formula>$I$54 &lt; 0</formula>
    </cfRule>
  </conditionalFormatting>
  <conditionalFormatting sqref="J5:L6">
    <cfRule type="expression" dxfId="2907" priority="47">
      <formula>$L$130 &gt; 0</formula>
    </cfRule>
    <cfRule type="expression" dxfId="2906" priority="48">
      <formula>$L$130 = 0</formula>
    </cfRule>
    <cfRule type="expression" dxfId="2905" priority="49">
      <formula>$L$130 &lt; 0</formula>
    </cfRule>
  </conditionalFormatting>
  <conditionalFormatting sqref="J7:L8">
    <cfRule type="expression" dxfId="2904" priority="44">
      <formula>$L$206 &gt; 0</formula>
    </cfRule>
    <cfRule type="expression" dxfId="2903" priority="45">
      <formula>$L$206 = 0</formula>
    </cfRule>
    <cfRule type="expression" dxfId="2902" priority="46">
      <formula>$L$206 &lt; 0</formula>
    </cfRule>
  </conditionalFormatting>
  <conditionalFormatting sqref="J9:L10">
    <cfRule type="expression" dxfId="2901" priority="41">
      <formula>$L$244 &gt; 0</formula>
    </cfRule>
    <cfRule type="expression" dxfId="2900" priority="42">
      <formula>$L$244 = 0</formula>
    </cfRule>
    <cfRule type="expression" dxfId="2899" priority="43">
      <formula>$L$244 &lt; 0</formula>
    </cfRule>
  </conditionalFormatting>
  <conditionalFormatting sqref="J11:L12">
    <cfRule type="expression" dxfId="2898" priority="38">
      <formula>$L$168 &gt; 0</formula>
    </cfRule>
    <cfRule type="expression" dxfId="2897" priority="39">
      <formula>$L$168 = 0</formula>
    </cfRule>
    <cfRule type="expression" dxfId="2896" priority="40">
      <formula>$L$168 &lt; 0</formula>
    </cfRule>
  </conditionalFormatting>
  <conditionalFormatting sqref="J13:L14">
    <cfRule type="expression" dxfId="2895" priority="35">
      <formula>$L$282 &gt; 0</formula>
    </cfRule>
    <cfRule type="expression" dxfId="2894" priority="36">
      <formula>$L$282 = 0</formula>
    </cfRule>
    <cfRule type="expression" dxfId="2893" priority="37">
      <formula>$L$282 &lt; 0</formula>
    </cfRule>
  </conditionalFormatting>
  <conditionalFormatting sqref="J15:L16">
    <cfRule type="expression" dxfId="2892" priority="32">
      <formula>$L$54 &gt; 0</formula>
    </cfRule>
    <cfRule type="expression" dxfId="2891" priority="33">
      <formula>$L$54 = 0</formula>
    </cfRule>
    <cfRule type="expression" dxfId="2890" priority="34">
      <formula>$L$54 &lt; 0</formula>
    </cfRule>
  </conditionalFormatting>
  <conditionalFormatting sqref="M5:O6">
    <cfRule type="expression" dxfId="2889" priority="29">
      <formula>$O$130 &gt; 0</formula>
    </cfRule>
    <cfRule type="expression" dxfId="2888" priority="30">
      <formula>$O$130 = 0</formula>
    </cfRule>
    <cfRule type="expression" dxfId="2887" priority="31">
      <formula>$O$130 &lt; 0</formula>
    </cfRule>
  </conditionalFormatting>
  <conditionalFormatting sqref="M7:O8">
    <cfRule type="expression" dxfId="2886" priority="26">
      <formula>$O$206 &gt; 0</formula>
    </cfRule>
    <cfRule type="expression" dxfId="2885" priority="27">
      <formula>$O$206 = 0</formula>
    </cfRule>
    <cfRule type="expression" dxfId="2884" priority="28">
      <formula>$O$206 &lt; 0</formula>
    </cfRule>
  </conditionalFormatting>
  <conditionalFormatting sqref="M9:O10">
    <cfRule type="expression" dxfId="2883" priority="23">
      <formula>$O$244 &gt; 0</formula>
    </cfRule>
    <cfRule type="expression" dxfId="2882" priority="24">
      <formula>$O$244 = 0</formula>
    </cfRule>
    <cfRule type="expression" dxfId="2881" priority="25">
      <formula>$O$244 &lt; 0</formula>
    </cfRule>
  </conditionalFormatting>
  <conditionalFormatting sqref="M11:O12">
    <cfRule type="expression" dxfId="2880" priority="20">
      <formula>$O$168 &gt; 0</formula>
    </cfRule>
    <cfRule type="expression" dxfId="2879" priority="21">
      <formula>$O$168 = 0</formula>
    </cfRule>
    <cfRule type="expression" dxfId="2878" priority="22">
      <formula>$O$168 &lt; 0</formula>
    </cfRule>
  </conditionalFormatting>
  <conditionalFormatting sqref="M13:O14">
    <cfRule type="expression" dxfId="2877" priority="17">
      <formula>$O$282 &gt; 0</formula>
    </cfRule>
    <cfRule type="expression" dxfId="2876" priority="18">
      <formula>$O$282 = 0</formula>
    </cfRule>
    <cfRule type="expression" dxfId="2875" priority="19">
      <formula>$O$282 &lt; 0</formula>
    </cfRule>
  </conditionalFormatting>
  <conditionalFormatting sqref="M15:O16">
    <cfRule type="expression" dxfId="2874" priority="14">
      <formula>$O$54 &gt; 0</formula>
    </cfRule>
    <cfRule type="expression" dxfId="2873" priority="15">
      <formula>$O$54 = 0</formula>
    </cfRule>
    <cfRule type="expression" dxfId="2872" priority="16">
      <formula>$O$54 &lt; 0</formula>
    </cfRule>
  </conditionalFormatting>
  <conditionalFormatting sqref="D3:F4">
    <cfRule type="expression" dxfId="2871" priority="11">
      <formula>$F$92 &gt; 0</formula>
    </cfRule>
    <cfRule type="expression" dxfId="2870" priority="12">
      <formula>$F$92 = 0</formula>
    </cfRule>
    <cfRule type="expression" dxfId="2869" priority="13">
      <formula>$F$92 &lt; 0</formula>
    </cfRule>
  </conditionalFormatting>
  <conditionalFormatting sqref="G3:I4">
    <cfRule type="expression" dxfId="2868" priority="8">
      <formula>$I$92 &gt; 0</formula>
    </cfRule>
    <cfRule type="expression" dxfId="2867" priority="9">
      <formula>$I$92 = 0</formula>
    </cfRule>
    <cfRule type="expression" dxfId="2866" priority="10">
      <formula>$I$92 &lt; 0</formula>
    </cfRule>
  </conditionalFormatting>
  <conditionalFormatting sqref="J3:L4">
    <cfRule type="expression" dxfId="2865" priority="5">
      <formula>$L$92 &gt; 0</formula>
    </cfRule>
    <cfRule type="expression" dxfId="2864" priority="6">
      <formula>$L$92 = 0</formula>
    </cfRule>
    <cfRule type="expression" dxfId="2863" priority="7">
      <formula>$L$92 &lt; 0</formula>
    </cfRule>
  </conditionalFormatting>
  <conditionalFormatting sqref="M3:O4">
    <cfRule type="expression" dxfId="2862" priority="2">
      <formula>$O$92 &gt; 0</formula>
    </cfRule>
    <cfRule type="expression" dxfId="2861" priority="3">
      <formula>$O$92 = 0</formula>
    </cfRule>
    <cfRule type="expression" dxfId="2860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24259-1B44-4FAC-B87B-908E77930A2D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9" t="s">
        <v>0</v>
      </c>
      <c r="B1" s="250"/>
      <c r="C1" s="250"/>
      <c r="D1" s="250"/>
      <c r="E1" s="250"/>
      <c r="F1" s="251"/>
      <c r="G1" s="252">
        <v>44317</v>
      </c>
      <c r="H1" s="253"/>
      <c r="I1" s="254"/>
      <c r="J1" s="249" t="s">
        <v>1</v>
      </c>
      <c r="K1" s="250"/>
      <c r="L1" s="250"/>
      <c r="M1" s="250"/>
      <c r="N1" s="250"/>
      <c r="O1" s="251"/>
      <c r="Q1" s="249" t="s">
        <v>2</v>
      </c>
      <c r="R1" s="251"/>
    </row>
    <row r="2" spans="1:19" ht="17.25" customHeight="1">
      <c r="A2" s="1" t="s">
        <v>3</v>
      </c>
      <c r="B2" s="255" t="s">
        <v>4</v>
      </c>
      <c r="C2" s="256"/>
      <c r="D2" s="256"/>
      <c r="E2" s="256"/>
      <c r="F2" s="257"/>
      <c r="G2" s="258" t="s">
        <v>46</v>
      </c>
      <c r="H2" s="259"/>
      <c r="I2" s="260"/>
      <c r="J2" s="1" t="s">
        <v>3</v>
      </c>
      <c r="K2" s="255" t="s">
        <v>5</v>
      </c>
      <c r="L2" s="256"/>
      <c r="M2" s="256"/>
      <c r="N2" s="256"/>
      <c r="O2" s="257"/>
      <c r="Q2" s="2" t="s">
        <v>6</v>
      </c>
      <c r="R2" s="3">
        <v>0.375</v>
      </c>
    </row>
    <row r="3" spans="1:19" ht="17.25" customHeight="1" thickBot="1">
      <c r="A3" s="4" t="s">
        <v>7</v>
      </c>
      <c r="B3" s="261" t="s">
        <v>8</v>
      </c>
      <c r="C3" s="262"/>
      <c r="D3" s="262"/>
      <c r="E3" s="262"/>
      <c r="F3" s="263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67,393 KRW (1.12%)</v>
      </c>
      <c r="H3" s="265"/>
      <c r="I3" s="266"/>
      <c r="J3" s="4" t="s">
        <v>7</v>
      </c>
      <c r="K3" s="261" t="s">
        <v>9</v>
      </c>
      <c r="L3" s="262"/>
      <c r="M3" s="262"/>
      <c r="N3" s="262"/>
      <c r="O3" s="263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61" t="s">
        <v>12</v>
      </c>
      <c r="C4" s="262"/>
      <c r="D4" s="262"/>
      <c r="E4" s="262"/>
      <c r="F4" s="263"/>
      <c r="G4" s="258" t="s">
        <v>44</v>
      </c>
      <c r="H4" s="259"/>
      <c r="I4" s="260"/>
      <c r="J4" s="4" t="s">
        <v>11</v>
      </c>
      <c r="K4" s="261" t="s">
        <v>13</v>
      </c>
      <c r="L4" s="262"/>
      <c r="M4" s="262"/>
      <c r="N4" s="262"/>
      <c r="O4" s="263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261" t="s">
        <v>16</v>
      </c>
      <c r="C5" s="262"/>
      <c r="D5" s="262"/>
      <c r="E5" s="262"/>
      <c r="F5" s="263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91,895 KRW (1.61%)</v>
      </c>
      <c r="H5" s="265"/>
      <c r="I5" s="266"/>
      <c r="J5" s="4" t="s">
        <v>15</v>
      </c>
      <c r="K5" s="261" t="s">
        <v>17</v>
      </c>
      <c r="L5" s="262"/>
      <c r="M5" s="262"/>
      <c r="N5" s="262"/>
      <c r="O5" s="263"/>
    </row>
    <row r="6" spans="1:19">
      <c r="A6" s="4" t="s">
        <v>18</v>
      </c>
      <c r="B6" s="261" t="s">
        <v>19</v>
      </c>
      <c r="C6" s="262"/>
      <c r="D6" s="262"/>
      <c r="E6" s="262"/>
      <c r="F6" s="263"/>
      <c r="G6" s="258" t="s">
        <v>45</v>
      </c>
      <c r="H6" s="259"/>
      <c r="I6" s="260"/>
      <c r="J6" s="4" t="s">
        <v>18</v>
      </c>
      <c r="K6" s="261" t="s">
        <v>20</v>
      </c>
      <c r="L6" s="262"/>
      <c r="M6" s="262"/>
      <c r="N6" s="262"/>
      <c r="O6" s="263"/>
    </row>
    <row r="7" spans="1:19" ht="17.25" thickBot="1">
      <c r="A7" s="4" t="s">
        <v>21</v>
      </c>
      <c r="B7" s="261" t="s">
        <v>22</v>
      </c>
      <c r="C7" s="262"/>
      <c r="D7" s="262"/>
      <c r="E7" s="262"/>
      <c r="F7" s="263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147,439 KRW (2.46%)</v>
      </c>
      <c r="H7" s="265"/>
      <c r="I7" s="266"/>
      <c r="J7" s="4" t="s">
        <v>21</v>
      </c>
      <c r="K7" s="261" t="s">
        <v>23</v>
      </c>
      <c r="L7" s="262"/>
      <c r="M7" s="262"/>
      <c r="N7" s="262"/>
      <c r="O7" s="263"/>
    </row>
    <row r="8" spans="1:19" ht="17.25" thickBot="1">
      <c r="A8" s="4" t="s">
        <v>24</v>
      </c>
      <c r="B8" s="261" t="s">
        <v>25</v>
      </c>
      <c r="C8" s="262"/>
      <c r="D8" s="262"/>
      <c r="E8" s="262"/>
      <c r="F8" s="263"/>
      <c r="G8" s="258" t="s">
        <v>285</v>
      </c>
      <c r="H8" s="259"/>
      <c r="I8" s="260"/>
      <c r="J8" s="4" t="s">
        <v>24</v>
      </c>
      <c r="K8" s="261" t="s">
        <v>26</v>
      </c>
      <c r="L8" s="262"/>
      <c r="M8" s="262"/>
      <c r="N8" s="262"/>
      <c r="O8" s="263"/>
      <c r="Q8" s="249" t="s">
        <v>27</v>
      </c>
      <c r="R8" s="251"/>
    </row>
    <row r="9" spans="1:19" ht="17.25" thickBot="1">
      <c r="A9" s="4" t="s">
        <v>28</v>
      </c>
      <c r="B9" s="261"/>
      <c r="C9" s="262"/>
      <c r="D9" s="262"/>
      <c r="E9" s="262"/>
      <c r="F9" s="263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31,272 KRW (0.52%)</v>
      </c>
      <c r="H9" s="265"/>
      <c r="I9" s="266"/>
      <c r="J9" s="4" t="s">
        <v>28</v>
      </c>
      <c r="K9" s="261" t="s">
        <v>293</v>
      </c>
      <c r="L9" s="262"/>
      <c r="M9" s="262"/>
      <c r="N9" s="262"/>
      <c r="O9" s="263"/>
      <c r="Q9" s="2" t="s">
        <v>29</v>
      </c>
      <c r="R9" s="6">
        <v>10</v>
      </c>
    </row>
    <row r="10" spans="1:19">
      <c r="A10" s="4" t="s">
        <v>30</v>
      </c>
      <c r="B10" s="261"/>
      <c r="C10" s="262"/>
      <c r="D10" s="262"/>
      <c r="E10" s="262"/>
      <c r="F10" s="263"/>
      <c r="G10" s="258" t="s">
        <v>47</v>
      </c>
      <c r="H10" s="259"/>
      <c r="I10" s="260"/>
      <c r="J10" s="4" t="s">
        <v>30</v>
      </c>
      <c r="K10" s="261"/>
      <c r="L10" s="262"/>
      <c r="M10" s="262"/>
      <c r="N10" s="262"/>
      <c r="O10" s="263"/>
      <c r="Q10" s="2" t="s">
        <v>31</v>
      </c>
      <c r="R10" s="6">
        <v>100</v>
      </c>
    </row>
    <row r="11" spans="1:19" ht="17.25" thickBot="1">
      <c r="A11" s="7" t="s">
        <v>32</v>
      </c>
      <c r="B11" s="267"/>
      <c r="C11" s="268"/>
      <c r="D11" s="268"/>
      <c r="E11" s="268"/>
      <c r="F11" s="269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25,525 KRW (1.70%)</v>
      </c>
      <c r="H11" s="265"/>
      <c r="I11" s="266"/>
      <c r="J11" s="7" t="s">
        <v>32</v>
      </c>
      <c r="K11" s="267"/>
      <c r="L11" s="268"/>
      <c r="M11" s="268"/>
      <c r="N11" s="268"/>
      <c r="O11" s="269"/>
      <c r="Q11" s="61" t="s">
        <v>33</v>
      </c>
      <c r="R11" s="8">
        <v>1000</v>
      </c>
    </row>
    <row r="12" spans="1:19" ht="17.25" thickBot="1"/>
    <row r="13" spans="1:19" ht="17.25" customHeight="1" thickBot="1">
      <c r="A13" s="249" t="s">
        <v>34</v>
      </c>
      <c r="B13" s="250"/>
      <c r="C13" s="250"/>
      <c r="D13" s="250"/>
      <c r="E13" s="250"/>
      <c r="F13" s="250"/>
      <c r="G13" s="250"/>
      <c r="H13" s="250"/>
      <c r="I13" s="250"/>
      <c r="J13" s="250"/>
      <c r="K13" s="250"/>
      <c r="L13" s="250"/>
      <c r="M13" s="250"/>
      <c r="N13" s="250"/>
      <c r="O13" s="251"/>
      <c r="Q13" s="270"/>
      <c r="R13" s="270"/>
      <c r="S13" s="270"/>
    </row>
    <row r="14" spans="1:19" ht="17.25" customHeight="1" thickBot="1">
      <c r="A14" s="107" t="s">
        <v>35</v>
      </c>
      <c r="B14" s="249" t="s">
        <v>36</v>
      </c>
      <c r="C14" s="251"/>
      <c r="D14" s="249" t="s">
        <v>37</v>
      </c>
      <c r="E14" s="250"/>
      <c r="F14" s="251"/>
      <c r="G14" s="276">
        <f>_xlfn.IFNA(VLOOKUP(B14, 현재가테이블!$B$2:$D$200, 2, FALSE), "-")</f>
        <v>60874000</v>
      </c>
      <c r="H14" s="277"/>
      <c r="I14" s="278"/>
      <c r="J14" s="249" t="s">
        <v>38</v>
      </c>
      <c r="K14" s="250"/>
      <c r="L14" s="251"/>
      <c r="M14" s="279">
        <f>_xlfn.IFNA(VLOOKUP(B14, 현재가테이블!$B$2:$D$200, 3, FALSE), "-")</f>
        <v>-1.4936000099999999E-2</v>
      </c>
      <c r="N14" s="280"/>
      <c r="O14" s="281"/>
      <c r="Q14" s="270"/>
      <c r="R14" s="270"/>
      <c r="S14" s="270"/>
    </row>
    <row r="15" spans="1:19" ht="17.25" customHeight="1" thickBot="1">
      <c r="A15" s="271" t="s">
        <v>39</v>
      </c>
      <c r="B15" s="282" t="str">
        <f>TEXT($G$1, "[$-ko-KR]yyyy-mm-dd(ddd) ") &amp; "오전 00:00"</f>
        <v>2021-05-01(토) 오전 00:00</v>
      </c>
      <c r="C15" s="283"/>
      <c r="D15" s="272" t="str">
        <f>TEXT($G$1, "[$-ko-KR]yyyy-mm-dd(ddd) ") &amp; "오후 14:00"</f>
        <v>2021-05-01(토) 오후 14:00</v>
      </c>
      <c r="E15" s="273"/>
      <c r="F15" s="274"/>
      <c r="G15" s="272" t="str">
        <f>TEXT($G$1, "[$-ko-KR]yyyy-mm-dd(ddd) ") &amp; "오후 19:00"</f>
        <v>2021-05-01(토) 오후 19:00</v>
      </c>
      <c r="H15" s="273"/>
      <c r="I15" s="274"/>
      <c r="J15" s="272" t="str">
        <f>TEXT($G$1, "[$-ko-KR]yyyy-mm-dd(ddd) ") &amp; "오후 21:00"</f>
        <v>2021-05-01(토) 오후 21:00</v>
      </c>
      <c r="K15" s="273"/>
      <c r="L15" s="274"/>
      <c r="M15" s="272" t="str">
        <f>TEXT($G$1+1, "[$-ko-KR]yyyy-mm-dd(ddd) ") &amp; "오전 00:00"</f>
        <v>2021-05-02(일) 오전 00:00</v>
      </c>
      <c r="N15" s="273"/>
      <c r="O15" s="274"/>
      <c r="Q15" s="270"/>
      <c r="R15" s="270"/>
      <c r="S15" s="270"/>
    </row>
    <row r="16" spans="1:19" ht="17.25" customHeight="1" thickBot="1">
      <c r="A16" s="271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75"/>
      <c r="R16" s="275"/>
      <c r="S16" s="275"/>
    </row>
    <row r="17" spans="1:19" ht="17.25" customHeight="1" thickBot="1">
      <c r="A17" s="12" t="s">
        <v>57</v>
      </c>
      <c r="B17" s="13">
        <f>IF(NOT(ISBLANK(_xlfn.IFNA(VLOOKUP($A17, $A$40:$O$199, 2, FALSE), ))), _xlfn.IFNA(VLOOKUP($A17, $A$40:$O$199, 2, FALSE), ), "")</f>
        <v>411</v>
      </c>
      <c r="C17" s="14">
        <f>IF(NOT(ISBLANK(_xlfn.IFNA(VLOOKUP($A17, $A$40:$O$199, 3, FALSE), ))), _xlfn.IFNA(VLOOKUP($A17, $A$40:$O$199, 3, FALSE), ), "")</f>
        <v>2.75E-2</v>
      </c>
      <c r="D17" s="13">
        <f>IF(NOT(ISBLANK(_xlfn.IFNA(VLOOKUP($A17, $A$40:$O$199, 4, FALSE), ))), _xlfn.IFNA(VLOOKUP($A17, $A$40:$O$199, 4, FALSE), ), "")</f>
        <v>413</v>
      </c>
      <c r="E17" s="14">
        <f>IF(NOT(ISBLANK(_xlfn.IFNA(VLOOKUP($A17, $A$40:$O$199, 5, FALSE), ))), _xlfn.IFNA(VLOOKUP($A17, $A$40:$O$199, 5, FALSE), ), "")</f>
        <v>4.8661800486618006E-3</v>
      </c>
      <c r="F17" s="16">
        <f>IF(NOT(ISBLANK(_xlfn.IFNA(VLOOKUP($A17, $A$40:$O$199, 6, FALSE), ))), _xlfn.IFNA(VLOOKUP($A17, $A$40:$O$199, 6, FALSE), ), "")</f>
        <v>1459.8540145985403</v>
      </c>
      <c r="G17" s="29">
        <f>IF(NOT(ISBLANK(_xlfn.IFNA(VLOOKUP($A17, $A$40:$O$199, 7, FALSE), ))), _xlfn.IFNA(VLOOKUP($A17, $A$40:$O$199, 7, FALSE), ), "")</f>
        <v>407</v>
      </c>
      <c r="H17" s="14">
        <f>IF(NOT(ISBLANK(_xlfn.IFNA(VLOOKUP($A17, $A$40:$O$199, 8, FALSE), ))), _xlfn.IFNA(VLOOKUP($A17, $A$40:$O$199, 8, FALSE), ), "")</f>
        <v>-9.7323600973236012E-3</v>
      </c>
      <c r="I17" s="96">
        <f>IF(NOT(ISBLANK(_xlfn.IFNA(VLOOKUP($A17, $A$40:$O$199, 9, FALSE), ))), _xlfn.IFNA(VLOOKUP($A17, $A$40:$O$199, 9, FALSE), ), "")</f>
        <v>-2919.7080291970806</v>
      </c>
      <c r="J17" s="13">
        <f>IF(NOT(ISBLANK(_xlfn.IFNA(VLOOKUP($A17, $A$40:$O$199, 10, FALSE), ))), _xlfn.IFNA(VLOOKUP($A17, $A$40:$O$199, 10, FALSE), ), "")</f>
        <v>412</v>
      </c>
      <c r="K17" s="14">
        <f>IF(NOT(ISBLANK(_xlfn.IFNA(VLOOKUP($A17, $A$40:$O$199, 11, FALSE), ))), _xlfn.IFNA(VLOOKUP($A17, $A$40:$O$199, 11, FALSE), ), "")</f>
        <v>2.4330900243309003E-3</v>
      </c>
      <c r="L17" s="16">
        <f>IF(NOT(ISBLANK(_xlfn.IFNA(VLOOKUP($A17, $A$40:$O$199, 12, FALSE), ))), _xlfn.IFNA(VLOOKUP($A17, $A$40:$O$199, 12, FALSE), ), "")</f>
        <v>729.92700729927014</v>
      </c>
      <c r="M17" s="29">
        <f>IF(NOT(ISBLANK(_xlfn.IFNA(VLOOKUP($A17, $A$40:$O$199, 13, FALSE), ))), _xlfn.IFNA(VLOOKUP($A17, $A$40:$O$199, 13, FALSE), ), "")</f>
        <v>411</v>
      </c>
      <c r="N17" s="14">
        <f>IF(NOT(ISBLANK(_xlfn.IFNA(VLOOKUP($A17, $A$40:$O$199, 14, FALSE), ))), _xlfn.IFNA(VLOOKUP($A17, $A$40:$O$199, 14, FALSE), ), "")</f>
        <v>0</v>
      </c>
      <c r="O17" s="16">
        <f>IF(NOT(ISBLANK(_xlfn.IFNA(VLOOKUP($A17, $A$40:$O$199, 15, FALSE), ))), _xlfn.IFNA(VLOOKUP($A17, $A$40:$O$199, 15, FALSE), ), "")</f>
        <v>0</v>
      </c>
      <c r="Q17" s="270"/>
      <c r="R17" s="270"/>
      <c r="S17" s="270"/>
    </row>
    <row r="18" spans="1:19" ht="17.25" customHeight="1" thickBot="1">
      <c r="A18" s="17" t="s">
        <v>278</v>
      </c>
      <c r="B18" s="15">
        <f t="shared" ref="B18:B36" si="0">IF(NOT(ISBLANK(_xlfn.IFNA(VLOOKUP($A18, $A$40:$O$199, 2, FALSE), ))), _xlfn.IFNA(VLOOKUP($A18, $A$40:$O$199, 2, FALSE), ), "")</f>
        <v>150</v>
      </c>
      <c r="C18" s="32">
        <f t="shared" ref="C18:C36" si="1">IF(NOT(ISBLANK(_xlfn.IFNA(VLOOKUP($A18, $A$40:$O$199, 3, FALSE), ))), _xlfn.IFNA(VLOOKUP($A18, $A$40:$O$199, 3, FALSE), ), "")</f>
        <v>2.73972603E-2</v>
      </c>
      <c r="D18" s="15">
        <f t="shared" ref="D18:D36" si="2">IF(NOT(ISBLANK(_xlfn.IFNA(VLOOKUP($A18, $A$40:$O$199, 4, FALSE), ))), _xlfn.IFNA(VLOOKUP($A18, $A$40:$O$199, 4, FALSE), ), "")</f>
        <v>155</v>
      </c>
      <c r="E18" s="32">
        <f t="shared" ref="E18:E36" si="3">IF(NOT(ISBLANK(_xlfn.IFNA(VLOOKUP($A18, $A$40:$O$199, 5, FALSE), ))), _xlfn.IFNA(VLOOKUP($A18, $A$40:$O$199, 5, FALSE), ), "")</f>
        <v>3.3333333333333333E-2</v>
      </c>
      <c r="F18" s="18">
        <f t="shared" ref="F18:F36" si="4">IF(NOT(ISBLANK(_xlfn.IFNA(VLOOKUP($A18, $A$40:$O$199, 6, FALSE), ))), _xlfn.IFNA(VLOOKUP($A18, $A$40:$O$199, 6, FALSE), ), "")</f>
        <v>10000</v>
      </c>
      <c r="G18" s="31">
        <f t="shared" ref="G18:G36" si="5">IF(NOT(ISBLANK(_xlfn.IFNA(VLOOKUP($A18, $A$40:$O$199, 7, FALSE), ))), _xlfn.IFNA(VLOOKUP($A18, $A$40:$O$199, 7, FALSE), ), "")</f>
        <v>154</v>
      </c>
      <c r="H18" s="32">
        <f t="shared" ref="H18:H36" si="6">IF(NOT(ISBLANK(_xlfn.IFNA(VLOOKUP($A18, $A$40:$O$199, 8, FALSE), ))), _xlfn.IFNA(VLOOKUP($A18, $A$40:$O$199, 8, FALSE), ), "")</f>
        <v>2.6666666666666668E-2</v>
      </c>
      <c r="I18" s="97">
        <f t="shared" ref="I18:I36" si="7">IF(NOT(ISBLANK(_xlfn.IFNA(VLOOKUP($A18, $A$40:$O$199, 9, FALSE), ))), _xlfn.IFNA(VLOOKUP($A18, $A$40:$O$199, 9, FALSE), ), "")</f>
        <v>8000.0000000000009</v>
      </c>
      <c r="J18" s="15">
        <f t="shared" ref="J18:J36" si="8">IF(NOT(ISBLANK(_xlfn.IFNA(VLOOKUP($A18, $A$40:$O$199, 10, FALSE), ))), _xlfn.IFNA(VLOOKUP($A18, $A$40:$O$199, 10, FALSE), ), "")</f>
        <v>157</v>
      </c>
      <c r="K18" s="32">
        <f t="shared" ref="K18:K36" si="9">IF(NOT(ISBLANK(_xlfn.IFNA(VLOOKUP($A18, $A$40:$O$199, 11, FALSE), ))), _xlfn.IFNA(VLOOKUP($A18, $A$40:$O$199, 11, FALSE), ), "")</f>
        <v>4.6666666666666669E-2</v>
      </c>
      <c r="L18" s="18">
        <f t="shared" ref="L18:L36" si="10">IF(NOT(ISBLANK(_xlfn.IFNA(VLOOKUP($A18, $A$40:$O$199, 12, FALSE), ))), _xlfn.IFNA(VLOOKUP($A18, $A$40:$O$199, 12, FALSE), ), "")</f>
        <v>14000</v>
      </c>
      <c r="M18" s="31">
        <f t="shared" ref="M18:M36" si="11">IF(NOT(ISBLANK(_xlfn.IFNA(VLOOKUP($A18, $A$40:$O$199, 13, FALSE), ))), _xlfn.IFNA(VLOOKUP($A18, $A$40:$O$199, 13, FALSE), ), "")</f>
        <v>154</v>
      </c>
      <c r="N18" s="32">
        <f t="shared" ref="N18:N36" si="12">IF(NOT(ISBLANK(_xlfn.IFNA(VLOOKUP($A18, $A$40:$O$199, 14, FALSE), ))), _xlfn.IFNA(VLOOKUP($A18, $A$40:$O$199, 14, FALSE), ), "")</f>
        <v>2.6666666666666668E-2</v>
      </c>
      <c r="O18" s="18">
        <f t="shared" ref="O18:O36" si="13">IF(NOT(ISBLANK(_xlfn.IFNA(VLOOKUP($A18, $A$40:$O$199, 15, FALSE), ))), _xlfn.IFNA(VLOOKUP($A18, $A$40:$O$199, 15, FALSE), ), "")</f>
        <v>8000.0000000000009</v>
      </c>
      <c r="Q18" s="270"/>
      <c r="R18" s="270"/>
      <c r="S18" s="270"/>
    </row>
    <row r="19" spans="1:19" ht="17.25" customHeight="1" thickBot="1">
      <c r="A19" s="17" t="s">
        <v>134</v>
      </c>
      <c r="B19" s="15">
        <f t="shared" si="0"/>
        <v>156</v>
      </c>
      <c r="C19" s="32">
        <f t="shared" si="1"/>
        <v>2.6315789499999999E-2</v>
      </c>
      <c r="D19" s="15">
        <f t="shared" si="2"/>
        <v>157</v>
      </c>
      <c r="E19" s="32">
        <f t="shared" si="3"/>
        <v>6.41025641025641E-3</v>
      </c>
      <c r="F19" s="18">
        <f t="shared" si="4"/>
        <v>1923.0769230769231</v>
      </c>
      <c r="G19" s="31">
        <f t="shared" si="5"/>
        <v>157</v>
      </c>
      <c r="H19" s="32">
        <f t="shared" si="6"/>
        <v>6.41025641025641E-3</v>
      </c>
      <c r="I19" s="97">
        <f t="shared" si="7"/>
        <v>1923.0769230769231</v>
      </c>
      <c r="J19" s="15">
        <f t="shared" si="8"/>
        <v>158</v>
      </c>
      <c r="K19" s="32">
        <f t="shared" si="9"/>
        <v>1.282051282051282E-2</v>
      </c>
      <c r="L19" s="18">
        <f t="shared" si="10"/>
        <v>3846.1538461538462</v>
      </c>
      <c r="M19" s="31">
        <f t="shared" si="11"/>
        <v>158</v>
      </c>
      <c r="N19" s="32">
        <f t="shared" si="12"/>
        <v>1.282051282051282E-2</v>
      </c>
      <c r="O19" s="18">
        <f t="shared" si="13"/>
        <v>3846.1538461538462</v>
      </c>
      <c r="Q19" s="275"/>
      <c r="R19" s="275"/>
      <c r="S19" s="275"/>
    </row>
    <row r="20" spans="1:19" ht="17.25" customHeight="1" thickBot="1">
      <c r="A20" s="17" t="s">
        <v>132</v>
      </c>
      <c r="B20" s="15">
        <f t="shared" si="0"/>
        <v>234</v>
      </c>
      <c r="C20" s="32">
        <f t="shared" si="1"/>
        <v>2.6315789499999999E-2</v>
      </c>
      <c r="D20" s="15">
        <f t="shared" si="2"/>
        <v>239</v>
      </c>
      <c r="E20" s="32">
        <f t="shared" si="3"/>
        <v>2.1367521367521368E-2</v>
      </c>
      <c r="F20" s="18">
        <f t="shared" si="4"/>
        <v>6410.2564102564102</v>
      </c>
      <c r="G20" s="31">
        <f t="shared" si="5"/>
        <v>234</v>
      </c>
      <c r="H20" s="32">
        <f t="shared" si="6"/>
        <v>0</v>
      </c>
      <c r="I20" s="97">
        <f t="shared" si="7"/>
        <v>0</v>
      </c>
      <c r="J20" s="15">
        <f t="shared" si="8"/>
        <v>238</v>
      </c>
      <c r="K20" s="32">
        <f t="shared" si="9"/>
        <v>1.7094017094017096E-2</v>
      </c>
      <c r="L20" s="18">
        <f t="shared" si="10"/>
        <v>5128.2051282051289</v>
      </c>
      <c r="M20" s="31">
        <f t="shared" si="11"/>
        <v>235</v>
      </c>
      <c r="N20" s="32">
        <f t="shared" si="12"/>
        <v>4.2735042735042739E-3</v>
      </c>
      <c r="O20" s="18">
        <f t="shared" si="13"/>
        <v>1282.0512820512822</v>
      </c>
      <c r="Q20" s="275"/>
      <c r="R20" s="275"/>
      <c r="S20" s="275"/>
    </row>
    <row r="21" spans="1:19" ht="17.25" customHeight="1" thickBot="1">
      <c r="A21" s="19" t="s">
        <v>122</v>
      </c>
      <c r="B21" s="20">
        <f t="shared" si="0"/>
        <v>121</v>
      </c>
      <c r="C21" s="21">
        <f t="shared" si="1"/>
        <v>2.54237288E-2</v>
      </c>
      <c r="D21" s="20">
        <f t="shared" si="2"/>
        <v>128</v>
      </c>
      <c r="E21" s="21">
        <f t="shared" si="3"/>
        <v>5.7851239669421489E-2</v>
      </c>
      <c r="F21" s="22">
        <f t="shared" si="4"/>
        <v>17355.371900826445</v>
      </c>
      <c r="G21" s="30">
        <f t="shared" si="5"/>
        <v>128</v>
      </c>
      <c r="H21" s="21">
        <f t="shared" si="6"/>
        <v>5.7851239669421489E-2</v>
      </c>
      <c r="I21" s="101">
        <f t="shared" si="7"/>
        <v>17355.371900826445</v>
      </c>
      <c r="J21" s="20">
        <f t="shared" si="8"/>
        <v>128</v>
      </c>
      <c r="K21" s="21">
        <f t="shared" si="9"/>
        <v>5.7851239669421489E-2</v>
      </c>
      <c r="L21" s="22">
        <f t="shared" si="10"/>
        <v>17355.371900826445</v>
      </c>
      <c r="M21" s="30">
        <f t="shared" si="11"/>
        <v>126</v>
      </c>
      <c r="N21" s="21">
        <f t="shared" si="12"/>
        <v>4.1322314049586778E-2</v>
      </c>
      <c r="O21" s="22">
        <f t="shared" si="13"/>
        <v>12396.694214876034</v>
      </c>
      <c r="Q21" s="275"/>
      <c r="R21" s="275"/>
      <c r="S21" s="275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75"/>
      <c r="R22" s="275"/>
      <c r="S22" s="275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5"/>
      <c r="R23" s="275"/>
      <c r="S23" s="275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5"/>
      <c r="R24" s="275"/>
      <c r="S24" s="275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84"/>
      <c r="R26" s="285"/>
      <c r="S26" s="286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7"/>
      <c r="R27" s="288"/>
      <c r="S27" s="289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0"/>
      <c r="R28" s="291"/>
      <c r="S28" s="292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5"/>
      <c r="R29" s="275"/>
      <c r="S29" s="275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0"/>
      <c r="R30" s="270"/>
      <c r="S30" s="270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0"/>
      <c r="R31" s="270"/>
      <c r="S31" s="270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75"/>
      <c r="R32" s="275"/>
      <c r="S32" s="275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5"/>
      <c r="R33" s="275"/>
      <c r="S33" s="275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5"/>
      <c r="R34" s="275"/>
      <c r="S34" s="275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7"/>
      <c r="R35" s="298"/>
      <c r="S35" s="299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00"/>
      <c r="R36" s="301"/>
      <c r="S36" s="302"/>
    </row>
    <row r="37" spans="1:19" ht="17.25" customHeight="1" thickBot="1">
      <c r="A37" s="26" t="s">
        <v>42</v>
      </c>
      <c r="B37" s="306">
        <v>300000</v>
      </c>
      <c r="C37" s="307"/>
      <c r="D37" s="26" t="s">
        <v>43</v>
      </c>
      <c r="E37" s="27">
        <f>IF(COUNT(E17:E26), SUM(E17:E26) / COUNT(E17:E26), 0)</f>
        <v>2.4765706165838879E-2</v>
      </c>
      <c r="F37" s="28">
        <f>SUM(F17:F26)</f>
        <v>37148.55924875832</v>
      </c>
      <c r="G37" s="26" t="s">
        <v>43</v>
      </c>
      <c r="H37" s="27">
        <f>IF(COUNT(H17:H26), SUM(H17:H26) / COUNT(H17:H26), 0)</f>
        <v>1.6239160529804193E-2</v>
      </c>
      <c r="I37" s="28">
        <f>SUM(I17:I26)</f>
        <v>24358.740794706289</v>
      </c>
      <c r="J37" s="26" t="s">
        <v>43</v>
      </c>
      <c r="K37" s="27">
        <f>IF(COUNT(K17:K26), SUM(K17:K26) / COUNT(K17:K26), 0)</f>
        <v>2.7373105254989795E-2</v>
      </c>
      <c r="L37" s="28">
        <f>SUM(L17:L26)</f>
        <v>41059.657882484695</v>
      </c>
      <c r="M37" s="26" t="s">
        <v>43</v>
      </c>
      <c r="N37" s="27">
        <f>IF(COUNT(N17:N26), SUM(N17:N26) / COUNT(N17:N26), 0)</f>
        <v>1.7016599562054108E-2</v>
      </c>
      <c r="O37" s="28">
        <f>SUM(O17:O26)</f>
        <v>25524.899343081161</v>
      </c>
      <c r="Q37" s="303"/>
      <c r="R37" s="304"/>
      <c r="S37" s="305"/>
    </row>
    <row r="38" spans="1:19" ht="17.25" customHeight="1"/>
    <row r="39" spans="1:19" ht="17.25" customHeight="1" thickBot="1"/>
    <row r="40" spans="1:19" ht="17.25" customHeight="1" thickBot="1">
      <c r="A40" s="249" t="s">
        <v>44</v>
      </c>
      <c r="B40" s="250"/>
      <c r="C40" s="250"/>
      <c r="D40" s="250"/>
      <c r="E40" s="250"/>
      <c r="F40" s="250"/>
      <c r="G40" s="250"/>
      <c r="H40" s="250"/>
      <c r="I40" s="250"/>
      <c r="J40" s="250"/>
      <c r="K40" s="250"/>
      <c r="L40" s="250"/>
      <c r="M40" s="250"/>
      <c r="N40" s="250"/>
      <c r="O40" s="251"/>
      <c r="Q40" s="270"/>
      <c r="R40" s="270"/>
      <c r="S40" s="270"/>
    </row>
    <row r="41" spans="1:19" ht="17.25" customHeight="1" thickBot="1">
      <c r="A41" s="107" t="s">
        <v>298</v>
      </c>
      <c r="B41" s="249" t="s">
        <v>49</v>
      </c>
      <c r="C41" s="251"/>
      <c r="D41" s="249" t="s">
        <v>58</v>
      </c>
      <c r="E41" s="250"/>
      <c r="F41" s="251"/>
      <c r="G41" s="276">
        <f>_xlfn.IFNA(VLOOKUP(B41, 현재가테이블!$B$2:$D$200, 2, FALSE), "-")</f>
        <v>60874000</v>
      </c>
      <c r="H41" s="277"/>
      <c r="I41" s="278"/>
      <c r="J41" s="249" t="s">
        <v>59</v>
      </c>
      <c r="K41" s="250"/>
      <c r="L41" s="251"/>
      <c r="M41" s="279">
        <f>_xlfn.IFNA(VLOOKUP(B41, 현재가테이블!$B$2:$D$200, 3, FALSE), "-")</f>
        <v>-1.4936000099999999E-2</v>
      </c>
      <c r="N41" s="280"/>
      <c r="O41" s="281"/>
      <c r="Q41" s="270"/>
      <c r="R41" s="270"/>
      <c r="S41" s="270"/>
    </row>
    <row r="42" spans="1:19" ht="17.25" customHeight="1" thickBot="1">
      <c r="A42" s="293" t="s">
        <v>55</v>
      </c>
      <c r="B42" s="295" t="str">
        <f>TEXT($G$1, "[$-ko-KR]yyyy-mm-dd(ddd) ") &amp; "오전 00:00"</f>
        <v>2021-05-01(토) 오전 00:00</v>
      </c>
      <c r="C42" s="296"/>
      <c r="D42" s="272" t="str">
        <f>TEXT($G$1, "[$-ko-KR]yyyy-mm-dd(ddd) ") &amp; "오후 14:00"</f>
        <v>2021-05-01(토) 오후 14:00</v>
      </c>
      <c r="E42" s="273"/>
      <c r="F42" s="274"/>
      <c r="G42" s="272" t="str">
        <f>TEXT($G$1, "[$-ko-KR]yyyy-mm-dd(ddd) ") &amp; "오후 19:00"</f>
        <v>2021-05-01(토) 오후 19:00</v>
      </c>
      <c r="H42" s="273"/>
      <c r="I42" s="274"/>
      <c r="J42" s="272" t="str">
        <f>TEXT($G$1, "[$-ko-KR]yyyy-mm-dd(ddd) ") &amp; "오후 21:00"</f>
        <v>2021-05-01(토) 오후 21:00</v>
      </c>
      <c r="K42" s="273"/>
      <c r="L42" s="274"/>
      <c r="M42" s="272" t="str">
        <f>TEXT($G$1+1, "[$-ko-KR]yyyy-mm-dd(ddd) ") &amp; "오전 00:00"</f>
        <v>2021-05-02(일) 오전 00:00</v>
      </c>
      <c r="N42" s="273"/>
      <c r="O42" s="274"/>
      <c r="Q42" s="270"/>
      <c r="R42" s="270"/>
      <c r="S42" s="270"/>
    </row>
    <row r="43" spans="1:19" ht="17.25" customHeight="1" thickBot="1">
      <c r="A43" s="294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75"/>
      <c r="R43" s="275"/>
      <c r="S43" s="275"/>
    </row>
    <row r="44" spans="1:19" ht="17.25" customHeight="1" thickBot="1">
      <c r="A44" s="12" t="s">
        <v>196</v>
      </c>
      <c r="B44" s="13">
        <v>22.1</v>
      </c>
      <c r="C44" s="14">
        <v>5.23809524E-2</v>
      </c>
      <c r="D44" s="13">
        <v>22</v>
      </c>
      <c r="E44" s="14">
        <f>IF(ISNUMBER(D44), (D44 - $B44) / $B44, "")</f>
        <v>-4.524886877828118E-3</v>
      </c>
      <c r="F44" s="16">
        <f>IF(ISNUMBER(D44), $B64 * E44, "")</f>
        <v>-1357.4660633484355</v>
      </c>
      <c r="G44" s="29">
        <v>22</v>
      </c>
      <c r="H44" s="14">
        <f>IF(ISNUMBER(G44), (G44 - $B44) / $B44, "")</f>
        <v>-4.524886877828118E-3</v>
      </c>
      <c r="I44" s="96">
        <f>IF(ISNUMBER(G44), $B64 * H44, "")</f>
        <v>-1357.4660633484355</v>
      </c>
      <c r="J44" s="13">
        <v>21.9</v>
      </c>
      <c r="K44" s="14">
        <f>IF(ISNUMBER(J44), (J44 - $B44) / $B44, "")</f>
        <v>-9.049773755656236E-3</v>
      </c>
      <c r="L44" s="16">
        <f>IF(ISNUMBER(J44), $B64 * K44, "")</f>
        <v>-2714.9321266968709</v>
      </c>
      <c r="M44" s="29">
        <v>21.9</v>
      </c>
      <c r="N44" s="14">
        <f>IF(ISNUMBER(M44), (M44 - $B44) / $B44, "")</f>
        <v>-9.049773755656236E-3</v>
      </c>
      <c r="O44" s="16">
        <f>IF(ISNUMBER(M44), $B64 * N44, "")</f>
        <v>-2714.9321266968709</v>
      </c>
      <c r="Q44" s="270"/>
      <c r="R44" s="270"/>
      <c r="S44" s="270"/>
    </row>
    <row r="45" spans="1:19" ht="17.25" customHeight="1" thickBot="1">
      <c r="A45" s="17" t="s">
        <v>65</v>
      </c>
      <c r="B45" s="15">
        <v>76</v>
      </c>
      <c r="C45" s="32">
        <v>4.8275862099999997E-2</v>
      </c>
      <c r="D45" s="15">
        <v>78.5</v>
      </c>
      <c r="E45" s="32">
        <f t="shared" ref="E45:E48" si="14">IF(ISNUMBER(D45), (D45 - $B45) / $B45, "")</f>
        <v>3.2894736842105261E-2</v>
      </c>
      <c r="F45" s="18">
        <f>IF(ISNUMBER(D45), $B64 * E45, "")</f>
        <v>9868.4210526315783</v>
      </c>
      <c r="G45" s="31">
        <v>77.7</v>
      </c>
      <c r="H45" s="32">
        <f t="shared" ref="H45:H48" si="15">IF(ISNUMBER(G45), (G45 - $B45) / $B45, "")</f>
        <v>2.2368421052631617E-2</v>
      </c>
      <c r="I45" s="97">
        <f>IF(ISNUMBER(G45), $B64 * H45, "")</f>
        <v>6710.5263157894851</v>
      </c>
      <c r="J45" s="15">
        <v>78.2</v>
      </c>
      <c r="K45" s="32">
        <f t="shared" ref="K45:K48" si="16">IF(ISNUMBER(J45), (J45 - $B45) / $B45, "")</f>
        <v>2.894736842105267E-2</v>
      </c>
      <c r="L45" s="18">
        <f>IF(ISNUMBER(J45), $B64 * K45, "")</f>
        <v>8684.210526315801</v>
      </c>
      <c r="M45" s="31">
        <v>77.5</v>
      </c>
      <c r="N45" s="32">
        <f t="shared" ref="N45:N48" si="17">IF(ISNUMBER(M45), (M45 - $B45) / $B45, "")</f>
        <v>1.9736842105263157E-2</v>
      </c>
      <c r="O45" s="18">
        <f>IF(ISNUMBER(M45), $B64 * N45, "")</f>
        <v>5921.0526315789466</v>
      </c>
      <c r="Q45" s="270"/>
      <c r="R45" s="270"/>
      <c r="S45" s="270"/>
    </row>
    <row r="46" spans="1:19" ht="17.25" customHeight="1" thickBot="1">
      <c r="A46" s="17" t="s">
        <v>152</v>
      </c>
      <c r="B46" s="15">
        <v>46.3</v>
      </c>
      <c r="C46" s="32">
        <v>2.88888889E-2</v>
      </c>
      <c r="D46" s="15">
        <v>47.6</v>
      </c>
      <c r="E46" s="32">
        <f t="shared" si="14"/>
        <v>2.8077753779697717E-2</v>
      </c>
      <c r="F46" s="18">
        <f>IF(ISNUMBER(D46), $B64 * E46, "")</f>
        <v>8423.3261339093151</v>
      </c>
      <c r="G46" s="31">
        <v>46.8</v>
      </c>
      <c r="H46" s="32">
        <f t="shared" si="15"/>
        <v>1.0799136069114472E-2</v>
      </c>
      <c r="I46" s="97">
        <f>IF(ISNUMBER(G46), $B64 * H46, "")</f>
        <v>3239.7408207343415</v>
      </c>
      <c r="J46" s="15">
        <v>47.5</v>
      </c>
      <c r="K46" s="32">
        <f t="shared" si="16"/>
        <v>2.5917926565874792E-2</v>
      </c>
      <c r="L46" s="18">
        <f>IF(ISNUMBER(J46), $B64 * K46, "")</f>
        <v>7775.3779697624377</v>
      </c>
      <c r="M46" s="31">
        <v>46.9</v>
      </c>
      <c r="N46" s="32">
        <f t="shared" si="17"/>
        <v>1.2958963282937396E-2</v>
      </c>
      <c r="O46" s="18">
        <f>IF(ISNUMBER(M46), $B64 * N46, "")</f>
        <v>3887.6889848812189</v>
      </c>
      <c r="Q46" s="275"/>
      <c r="R46" s="275"/>
      <c r="S46" s="275"/>
    </row>
    <row r="47" spans="1:19" ht="17.25" customHeight="1" thickBot="1">
      <c r="A47" s="17" t="s">
        <v>100</v>
      </c>
      <c r="B47" s="15">
        <v>8.44</v>
      </c>
      <c r="C47" s="32">
        <v>2.80146163E-2</v>
      </c>
      <c r="D47" s="15">
        <v>8.56</v>
      </c>
      <c r="E47" s="32">
        <f t="shared" si="14"/>
        <v>1.4218009478673105E-2</v>
      </c>
      <c r="F47" s="18">
        <f>IF(ISNUMBER(D47), $B64 * E47, "")</f>
        <v>4265.4028436019316</v>
      </c>
      <c r="G47" s="31">
        <v>8.56</v>
      </c>
      <c r="H47" s="32">
        <f t="shared" si="15"/>
        <v>1.4218009478673105E-2</v>
      </c>
      <c r="I47" s="97">
        <f>IF(ISNUMBER(G47), $B64 * H47, "")</f>
        <v>4265.4028436019316</v>
      </c>
      <c r="J47" s="15">
        <v>8.6</v>
      </c>
      <c r="K47" s="32">
        <f t="shared" si="16"/>
        <v>1.8957345971564E-2</v>
      </c>
      <c r="L47" s="18">
        <f>IF(ISNUMBER(J47), $B64 * K47, "")</f>
        <v>5687.2037914692</v>
      </c>
      <c r="M47" s="31">
        <v>8.5500000000000007</v>
      </c>
      <c r="N47" s="32">
        <f t="shared" si="17"/>
        <v>1.303317535545038E-2</v>
      </c>
      <c r="O47" s="18">
        <f>IF(ISNUMBER(M47), $B64 * N47, "")</f>
        <v>3909.9526066351141</v>
      </c>
      <c r="Q47" s="275"/>
      <c r="R47" s="275"/>
      <c r="S47" s="275"/>
    </row>
    <row r="48" spans="1:19" ht="17.25" customHeight="1" thickBot="1">
      <c r="A48" s="19" t="s">
        <v>220</v>
      </c>
      <c r="B48" s="20">
        <v>20</v>
      </c>
      <c r="C48" s="21">
        <v>2.5641025599999999E-2</v>
      </c>
      <c r="D48" s="20">
        <v>20.100000000000001</v>
      </c>
      <c r="E48" s="21">
        <f t="shared" si="14"/>
        <v>5.0000000000000712E-3</v>
      </c>
      <c r="F48" s="22">
        <f>IF(ISNUMBER(D48), $B64 * E48, "")</f>
        <v>1500.0000000000214</v>
      </c>
      <c r="G48" s="30">
        <v>20</v>
      </c>
      <c r="H48" s="21">
        <f t="shared" si="15"/>
        <v>0</v>
      </c>
      <c r="I48" s="101">
        <f>IF(ISNUMBER(G48), $B64 * H48, "")</f>
        <v>0</v>
      </c>
      <c r="J48" s="20">
        <v>20.100000000000001</v>
      </c>
      <c r="K48" s="21">
        <f t="shared" si="16"/>
        <v>5.0000000000000712E-3</v>
      </c>
      <c r="L48" s="22">
        <f>IF(ISNUMBER(J48), $B64 * K48, "")</f>
        <v>1500.0000000000214</v>
      </c>
      <c r="M48" s="30">
        <v>20.2</v>
      </c>
      <c r="N48" s="21">
        <f t="shared" si="17"/>
        <v>9.9999999999999638E-3</v>
      </c>
      <c r="O48" s="22">
        <f>IF(ISNUMBER(M48), $B64 * N48, "")</f>
        <v>2999.9999999999891</v>
      </c>
      <c r="Q48" s="275"/>
      <c r="R48" s="275"/>
      <c r="S48" s="275"/>
    </row>
    <row r="49" spans="1:19" ht="17.25" customHeight="1" thickBot="1">
      <c r="A49" s="17" t="s">
        <v>72</v>
      </c>
      <c r="B49" s="102">
        <v>35.4</v>
      </c>
      <c r="C49" s="103">
        <v>2.3121387300000001E-2</v>
      </c>
      <c r="D49" s="102">
        <v>37.200000000000003</v>
      </c>
      <c r="E49" s="103">
        <f>IF(ISNUMBER(D49), (D49 - $B49) / $B49, "")</f>
        <v>5.0847457627118765E-2</v>
      </c>
      <c r="F49" s="104">
        <f>IF(ISNUMBER(D49), $B64 * E49, "")</f>
        <v>15254.23728813563</v>
      </c>
      <c r="G49" s="105">
        <v>36.6</v>
      </c>
      <c r="H49" s="103">
        <f>IF(ISNUMBER(G49), (G49 - $B49) / $B49, "")</f>
        <v>3.3898305084745846E-2</v>
      </c>
      <c r="I49" s="106">
        <f>IF(ISNUMBER(G49), $B64 * H49, "")</f>
        <v>10169.491525423753</v>
      </c>
      <c r="J49" s="102">
        <v>36.9</v>
      </c>
      <c r="K49" s="103">
        <f>IF(ISNUMBER(J49), (J49 - $B49) / $B49, "")</f>
        <v>4.2372881355932208E-2</v>
      </c>
      <c r="L49" s="104">
        <f>IF(ISNUMBER(J49), $B64 * K49, "")</f>
        <v>12711.864406779663</v>
      </c>
      <c r="M49" s="105">
        <v>37.4</v>
      </c>
      <c r="N49" s="103">
        <f>IF(ISNUMBER(M49), (M49 - $B49) / $B49, "")</f>
        <v>5.6497175141242938E-2</v>
      </c>
      <c r="O49" s="104">
        <f>IF(ISNUMBER(M49), $B64 * N49, "")</f>
        <v>16949.152542372882</v>
      </c>
      <c r="Q49" s="275"/>
      <c r="R49" s="275"/>
      <c r="S49" s="275"/>
    </row>
    <row r="50" spans="1:19" ht="17.25" customHeight="1" thickBot="1">
      <c r="A50" s="17" t="s">
        <v>236</v>
      </c>
      <c r="B50" s="15">
        <v>76.900000000000006</v>
      </c>
      <c r="C50" s="32">
        <v>1.8543046399999999E-2</v>
      </c>
      <c r="D50" s="15">
        <v>77.099999999999994</v>
      </c>
      <c r="E50" s="32">
        <f t="shared" ref="E50:E53" si="18">IF(ISNUMBER(D50), (D50 - $B50) / $B50, "")</f>
        <v>2.6007802340700732E-3</v>
      </c>
      <c r="F50" s="18">
        <f>IF(ISNUMBER(D50), $B64 * E50, "")</f>
        <v>780.23407022102197</v>
      </c>
      <c r="G50" s="31">
        <v>76.900000000000006</v>
      </c>
      <c r="H50" s="32">
        <f t="shared" ref="H50:H53" si="19">IF(ISNUMBER(G50), (G50 - $B50) / $B50, "")</f>
        <v>0</v>
      </c>
      <c r="I50" s="97">
        <f>IF(ISNUMBER(G50), $B64 * H50, "")</f>
        <v>0</v>
      </c>
      <c r="J50" s="15">
        <v>77</v>
      </c>
      <c r="K50" s="32">
        <f t="shared" ref="K50:K53" si="20">IF(ISNUMBER(J50), (J50 - $B50) / $B50, "")</f>
        <v>1.3003901170350366E-3</v>
      </c>
      <c r="L50" s="18">
        <f>IF(ISNUMBER(J50), $B64 * K50, "")</f>
        <v>390.11703511051098</v>
      </c>
      <c r="M50" s="31">
        <v>77.3</v>
      </c>
      <c r="N50" s="32">
        <f t="shared" ref="N50:N53" si="21">IF(ISNUMBER(M50), (M50 - $B50) / $B50, "")</f>
        <v>5.2015604681403312E-3</v>
      </c>
      <c r="O50" s="18">
        <f>IF(ISNUMBER(M50), $B64 * N50, "")</f>
        <v>1560.4681404420994</v>
      </c>
      <c r="Q50" s="275"/>
      <c r="R50" s="275"/>
      <c r="S50" s="275"/>
    </row>
    <row r="51" spans="1:19" ht="17.25" customHeight="1" thickBot="1">
      <c r="A51" s="17" t="s">
        <v>228</v>
      </c>
      <c r="B51" s="15">
        <v>19.8</v>
      </c>
      <c r="C51" s="32">
        <v>1.02040816E-2</v>
      </c>
      <c r="D51" s="15">
        <v>19.899999999999999</v>
      </c>
      <c r="E51" s="32">
        <f t="shared" si="18"/>
        <v>5.0505050505049425E-3</v>
      </c>
      <c r="F51" s="18">
        <f>IF(ISNUMBER(D51), $B64 * E51, "")</f>
        <v>1515.1515151514827</v>
      </c>
      <c r="G51" s="31">
        <v>19.8</v>
      </c>
      <c r="H51" s="32">
        <f t="shared" si="19"/>
        <v>0</v>
      </c>
      <c r="I51" s="97">
        <f>IF(ISNUMBER(G51), $B64 * H51, "")</f>
        <v>0</v>
      </c>
      <c r="J51" s="15">
        <v>19.899999999999999</v>
      </c>
      <c r="K51" s="32">
        <f t="shared" si="20"/>
        <v>5.0505050505049425E-3</v>
      </c>
      <c r="L51" s="18">
        <f>IF(ISNUMBER(J51), $B64 * K51, "")</f>
        <v>1515.1515151514827</v>
      </c>
      <c r="M51" s="31">
        <v>19.899999999999999</v>
      </c>
      <c r="N51" s="32">
        <f t="shared" si="21"/>
        <v>5.0505050505049425E-3</v>
      </c>
      <c r="O51" s="18">
        <f>IF(ISNUMBER(M51), $B64 * N51, "")</f>
        <v>1515.1515151514827</v>
      </c>
      <c r="Q51" s="275"/>
      <c r="R51" s="275"/>
      <c r="S51" s="275"/>
    </row>
    <row r="52" spans="1:19" ht="17.25" customHeight="1" thickBot="1">
      <c r="A52" s="17" t="s">
        <v>266</v>
      </c>
      <c r="B52" s="15">
        <v>94.2</v>
      </c>
      <c r="C52" s="32">
        <v>5.3361792999999996E-3</v>
      </c>
      <c r="D52" s="15">
        <v>93.5</v>
      </c>
      <c r="E52" s="32">
        <f t="shared" si="18"/>
        <v>-7.430997876857779E-3</v>
      </c>
      <c r="F52" s="18">
        <f>IF(ISNUMBER(D52), $B64 * E52, "")</f>
        <v>-2229.2993630573337</v>
      </c>
      <c r="G52" s="31">
        <v>93.4</v>
      </c>
      <c r="H52" s="32">
        <f t="shared" si="19"/>
        <v>-8.4925690021231126E-3</v>
      </c>
      <c r="I52" s="97">
        <f>IF(ISNUMBER(G52), $B64 * H52, "")</f>
        <v>-2547.7707006369337</v>
      </c>
      <c r="J52" s="15">
        <v>93.6</v>
      </c>
      <c r="K52" s="32">
        <f t="shared" si="20"/>
        <v>-6.3694267515924472E-3</v>
      </c>
      <c r="L52" s="18">
        <f>IF(ISNUMBER(J52), $B64 * K52, "")</f>
        <v>-1910.8280254777342</v>
      </c>
      <c r="M52" s="31">
        <v>93.6</v>
      </c>
      <c r="N52" s="32">
        <f t="shared" si="21"/>
        <v>-6.3694267515924472E-3</v>
      </c>
      <c r="O52" s="18">
        <f>IF(ISNUMBER(M52), $B64 * N52, "")</f>
        <v>-1910.8280254777342</v>
      </c>
      <c r="Q52" s="33"/>
      <c r="R52" s="33"/>
    </row>
    <row r="53" spans="1:19" ht="17.25" customHeight="1" thickBot="1">
      <c r="A53" s="23" t="s">
        <v>222</v>
      </c>
      <c r="B53" s="24">
        <v>20.100000000000001</v>
      </c>
      <c r="C53" s="25">
        <v>5.0000000000000001E-3</v>
      </c>
      <c r="D53" s="24">
        <v>20.100000000000001</v>
      </c>
      <c r="E53" s="25">
        <f t="shared" si="18"/>
        <v>0</v>
      </c>
      <c r="F53" s="100">
        <f>IF(ISNUMBER(D53), $B64 * E53, "")</f>
        <v>0</v>
      </c>
      <c r="G53" s="98">
        <v>19.899999999999999</v>
      </c>
      <c r="H53" s="25">
        <f t="shared" si="19"/>
        <v>-9.9502487562190458E-3</v>
      </c>
      <c r="I53" s="99">
        <f>IF(ISNUMBER(G53), $B64 * H53, "")</f>
        <v>-2985.0746268657135</v>
      </c>
      <c r="J53" s="24">
        <v>20.100000000000001</v>
      </c>
      <c r="K53" s="25">
        <f t="shared" si="20"/>
        <v>0</v>
      </c>
      <c r="L53" s="100">
        <f>IF(ISNUMBER(J53), $B64 * K53, "")</f>
        <v>0</v>
      </c>
      <c r="M53" s="98">
        <v>20.100000000000001</v>
      </c>
      <c r="N53" s="25">
        <f t="shared" si="21"/>
        <v>0</v>
      </c>
      <c r="O53" s="100">
        <f>IF(ISNUMBER(M53), $B64 * N53, "")</f>
        <v>0</v>
      </c>
      <c r="Q53" s="284"/>
      <c r="R53" s="285"/>
      <c r="S53" s="286"/>
    </row>
    <row r="54" spans="1:19" ht="17.25" customHeight="1">
      <c r="A54" s="12" t="s">
        <v>214</v>
      </c>
      <c r="B54" s="13">
        <v>24.3</v>
      </c>
      <c r="C54" s="14">
        <v>4.1322314000000002E-3</v>
      </c>
      <c r="D54" s="13">
        <v>24.2</v>
      </c>
      <c r="E54" s="14">
        <f>IF(ISNUMBER(D54), (D54 - $B54) / $B54, "")</f>
        <v>-4.1152263374486181E-3</v>
      </c>
      <c r="F54" s="16">
        <f>IF(ISNUMBER(D54), $B64 * E54, "")</f>
        <v>-1234.5679012345854</v>
      </c>
      <c r="G54" s="29">
        <v>24.2</v>
      </c>
      <c r="H54" s="14">
        <f>IF(ISNUMBER(G54), (G54 - $B54) / $B54, "")</f>
        <v>-4.1152263374486181E-3</v>
      </c>
      <c r="I54" s="96">
        <f>IF(ISNUMBER(G54), $B64 * H54, "")</f>
        <v>-1234.5679012345854</v>
      </c>
      <c r="J54" s="13">
        <v>24.2</v>
      </c>
      <c r="K54" s="14">
        <f>IF(ISNUMBER(J54), (J54 - $B54) / $B54, "")</f>
        <v>-4.1152263374486181E-3</v>
      </c>
      <c r="L54" s="16">
        <f>IF(ISNUMBER(J54), $B64 * K54, "")</f>
        <v>-1234.5679012345854</v>
      </c>
      <c r="M54" s="29">
        <v>24.2</v>
      </c>
      <c r="N54" s="14">
        <f>IF(ISNUMBER(M54), (M54 - $B54) / $B54, "")</f>
        <v>-4.1152263374486181E-3</v>
      </c>
      <c r="O54" s="16">
        <f>IF(ISNUMBER(M54), $B64 * N54, "")</f>
        <v>-1234.5679012345854</v>
      </c>
      <c r="Q54" s="287"/>
      <c r="R54" s="288"/>
      <c r="S54" s="289"/>
    </row>
    <row r="55" spans="1:19" ht="17.25" customHeight="1" thickBot="1">
      <c r="A55" s="17" t="s">
        <v>126</v>
      </c>
      <c r="B55" s="15">
        <v>60.4</v>
      </c>
      <c r="C55" s="32">
        <v>3.3222591000000002E-3</v>
      </c>
      <c r="D55" s="15">
        <v>69.599999999999994</v>
      </c>
      <c r="E55" s="32">
        <f t="shared" ref="E55:E58" si="22">IF(ISNUMBER(D55), (D55 - $B55) / $B55, "")</f>
        <v>0.15231788079470193</v>
      </c>
      <c r="F55" s="18">
        <f>IF(ISNUMBER(D55), $B64 * E55, "")</f>
        <v>45695.364238410577</v>
      </c>
      <c r="G55" s="31">
        <v>70.3</v>
      </c>
      <c r="H55" s="32">
        <f t="shared" ref="H55:H58" si="23">IF(ISNUMBER(G55), (G55 - $B55) / $B55, "")</f>
        <v>0.1639072847682119</v>
      </c>
      <c r="I55" s="97">
        <f>IF(ISNUMBER(G55), $B64 * H55, "")</f>
        <v>49172.185430463571</v>
      </c>
      <c r="J55" s="15">
        <v>71.2</v>
      </c>
      <c r="K55" s="32">
        <f t="shared" ref="K55:K58" si="24">IF(ISNUMBER(J55), (J55 - $B55) / $B55, "")</f>
        <v>0.17880794701986763</v>
      </c>
      <c r="L55" s="18">
        <f>IF(ISNUMBER(J55), $B64 * K55, "")</f>
        <v>53642.384105960286</v>
      </c>
      <c r="M55" s="31">
        <v>70.7</v>
      </c>
      <c r="N55" s="32">
        <f t="shared" ref="N55:N58" si="25">IF(ISNUMBER(M55), (M55 - $B55) / $B55, "")</f>
        <v>0.17052980132450338</v>
      </c>
      <c r="O55" s="18">
        <f>IF(ISNUMBER(M55), $B64 * N55, "")</f>
        <v>51158.940397351013</v>
      </c>
      <c r="Q55" s="290"/>
      <c r="R55" s="291"/>
      <c r="S55" s="292"/>
    </row>
    <row r="56" spans="1:19" ht="17.25" customHeight="1" thickBot="1">
      <c r="A56" s="17" t="s">
        <v>198</v>
      </c>
      <c r="B56" s="15">
        <v>31.2</v>
      </c>
      <c r="C56" s="32">
        <v>3.2154341000000001E-3</v>
      </c>
      <c r="D56" s="15">
        <v>31.5</v>
      </c>
      <c r="E56" s="32">
        <f t="shared" si="22"/>
        <v>9.6153846153846385E-3</v>
      </c>
      <c r="F56" s="18">
        <f>IF(ISNUMBER(D56), $B64 * E56, "")</f>
        <v>2884.6153846153916</v>
      </c>
      <c r="G56" s="31">
        <v>31.3</v>
      </c>
      <c r="H56" s="32">
        <f t="shared" si="23"/>
        <v>3.2051282051282506E-3</v>
      </c>
      <c r="I56" s="97">
        <f>IF(ISNUMBER(G56), $B64 * H56, "")</f>
        <v>961.53846153847519</v>
      </c>
      <c r="J56" s="15">
        <v>31.5</v>
      </c>
      <c r="K56" s="32">
        <f t="shared" si="24"/>
        <v>9.6153846153846385E-3</v>
      </c>
      <c r="L56" s="18">
        <f>IF(ISNUMBER(J56), $B64 * K56, "")</f>
        <v>2884.6153846153916</v>
      </c>
      <c r="M56" s="31">
        <v>31.7</v>
      </c>
      <c r="N56" s="32">
        <f t="shared" si="25"/>
        <v>1.6025641025641028E-2</v>
      </c>
      <c r="O56" s="18">
        <f>IF(ISNUMBER(M56), $B64 * N56, "")</f>
        <v>4807.6923076923085</v>
      </c>
      <c r="Q56" s="275"/>
      <c r="R56" s="275"/>
      <c r="S56" s="275"/>
    </row>
    <row r="57" spans="1:19" ht="17.25" customHeight="1" thickBot="1">
      <c r="A57" s="17" t="s">
        <v>154</v>
      </c>
      <c r="B57" s="15">
        <v>22.1</v>
      </c>
      <c r="C57" s="32">
        <v>0</v>
      </c>
      <c r="D57" s="15">
        <v>22.2</v>
      </c>
      <c r="E57" s="32">
        <f t="shared" si="22"/>
        <v>4.5248868778279576E-3</v>
      </c>
      <c r="F57" s="18">
        <f>IF(ISNUMBER(D57), $B64 * E57, "")</f>
        <v>1357.4660633483873</v>
      </c>
      <c r="G57" s="31">
        <v>21.9</v>
      </c>
      <c r="H57" s="32">
        <f t="shared" si="23"/>
        <v>-9.049773755656236E-3</v>
      </c>
      <c r="I57" s="97">
        <f>IF(ISNUMBER(G57), $B64 * H57, "")</f>
        <v>-2714.9321266968709</v>
      </c>
      <c r="J57" s="15">
        <v>22.1</v>
      </c>
      <c r="K57" s="32">
        <f t="shared" si="24"/>
        <v>0</v>
      </c>
      <c r="L57" s="18">
        <f>IF(ISNUMBER(J57), $B64 * K57, "")</f>
        <v>0</v>
      </c>
      <c r="M57" s="31">
        <v>22.2</v>
      </c>
      <c r="N57" s="32">
        <f t="shared" si="25"/>
        <v>4.5248868778279576E-3</v>
      </c>
      <c r="O57" s="18">
        <f>IF(ISNUMBER(M57), $B64 * N57, "")</f>
        <v>1357.4660633483873</v>
      </c>
      <c r="Q57" s="270"/>
      <c r="R57" s="270"/>
      <c r="S57" s="270"/>
    </row>
    <row r="58" spans="1:19" ht="17.25" customHeight="1" thickBot="1">
      <c r="A58" s="19" t="s">
        <v>268</v>
      </c>
      <c r="B58" s="20">
        <v>96.5</v>
      </c>
      <c r="C58" s="21">
        <v>-1.0351967E-3</v>
      </c>
      <c r="D58" s="20">
        <v>98</v>
      </c>
      <c r="E58" s="21">
        <f t="shared" si="22"/>
        <v>1.5544041450777202E-2</v>
      </c>
      <c r="F58" s="22">
        <f>IF(ISNUMBER(D58), $B64 * E58, "")</f>
        <v>4663.2124352331602</v>
      </c>
      <c r="G58" s="30">
        <v>97.1</v>
      </c>
      <c r="H58" s="21">
        <f t="shared" si="23"/>
        <v>6.2176165803108216E-3</v>
      </c>
      <c r="I58" s="101">
        <f>IF(ISNUMBER(G58), $B64 * H58, "")</f>
        <v>1865.2849740932465</v>
      </c>
      <c r="J58" s="20">
        <v>97.1</v>
      </c>
      <c r="K58" s="21">
        <f t="shared" si="24"/>
        <v>6.2176165803108216E-3</v>
      </c>
      <c r="L58" s="22">
        <f>IF(ISNUMBER(J58), $B64 * K58, "")</f>
        <v>1865.2849740932465</v>
      </c>
      <c r="M58" s="30">
        <v>97</v>
      </c>
      <c r="N58" s="21">
        <f t="shared" si="25"/>
        <v>5.1813471502590676E-3</v>
      </c>
      <c r="O58" s="22">
        <f>IF(ISNUMBER(M58), $B64 * N58, "")</f>
        <v>1554.4041450777202</v>
      </c>
      <c r="Q58" s="270"/>
      <c r="R58" s="270"/>
      <c r="S58" s="270"/>
    </row>
    <row r="59" spans="1:19" ht="17.25" customHeight="1" thickBot="1">
      <c r="A59" s="17" t="s">
        <v>186</v>
      </c>
      <c r="B59" s="102">
        <v>26.1</v>
      </c>
      <c r="C59" s="103">
        <v>-3.8167939000000001E-3</v>
      </c>
      <c r="D59" s="102">
        <v>26.6</v>
      </c>
      <c r="E59" s="103">
        <f>IF(ISNUMBER(D59), (D59 - $B59) / $B59, "")</f>
        <v>1.9157088122605363E-2</v>
      </c>
      <c r="F59" s="104">
        <f>IF(ISNUMBER(D59), $B64 * E59, "")</f>
        <v>5747.1264367816084</v>
      </c>
      <c r="G59" s="105">
        <v>26.2</v>
      </c>
      <c r="H59" s="103">
        <f>IF(ISNUMBER(G59), (G59 - $B59) / $B59, "")</f>
        <v>3.8314176245209911E-3</v>
      </c>
      <c r="I59" s="106">
        <f>IF(ISNUMBER(G59), $B64 * H59, "")</f>
        <v>1149.4252873562973</v>
      </c>
      <c r="J59" s="102">
        <v>26.5</v>
      </c>
      <c r="K59" s="103">
        <f>IF(ISNUMBER(J59), (J59 - $B59) / $B59, "")</f>
        <v>1.5325670498084237E-2</v>
      </c>
      <c r="L59" s="104">
        <f>IF(ISNUMBER(J59), $B64 * K59, "")</f>
        <v>4597.7011494252711</v>
      </c>
      <c r="M59" s="105">
        <v>26.3</v>
      </c>
      <c r="N59" s="103">
        <f>IF(ISNUMBER(M59), (M59 - $B59) / $B59, "")</f>
        <v>7.6628352490421183E-3</v>
      </c>
      <c r="O59" s="104">
        <f>IF(ISNUMBER(M59), $B64 * N59, "")</f>
        <v>2298.8505747126355</v>
      </c>
      <c r="Q59" s="275"/>
      <c r="R59" s="275"/>
      <c r="S59" s="275"/>
    </row>
    <row r="60" spans="1:19" ht="17.25" customHeight="1" thickBot="1">
      <c r="A60" s="17" t="s">
        <v>218</v>
      </c>
      <c r="B60" s="15">
        <v>31.8</v>
      </c>
      <c r="C60" s="32">
        <v>-6.2500000000000003E-3</v>
      </c>
      <c r="D60" s="15">
        <v>32.1</v>
      </c>
      <c r="E60" s="32">
        <f t="shared" ref="E60:E63" si="26">IF(ISNUMBER(D60), (D60 - $B60) / $B60, "")</f>
        <v>9.4339622641509656E-3</v>
      </c>
      <c r="F60" s="18">
        <f>IF(ISNUMBER(D60), $B64 * E60, "")</f>
        <v>2830.1886792452897</v>
      </c>
      <c r="G60" s="31">
        <v>32</v>
      </c>
      <c r="H60" s="32">
        <f t="shared" ref="H60:H63" si="27">IF(ISNUMBER(G60), (G60 - $B60) / $B60, "")</f>
        <v>6.2893081761006067E-3</v>
      </c>
      <c r="I60" s="97">
        <f>IF(ISNUMBER(G60), $B64 * H60, "")</f>
        <v>1886.7924528301821</v>
      </c>
      <c r="J60" s="15">
        <v>32.1</v>
      </c>
      <c r="K60" s="32">
        <f t="shared" ref="K60:K63" si="28">IF(ISNUMBER(J60), (J60 - $B60) / $B60, "")</f>
        <v>9.4339622641509656E-3</v>
      </c>
      <c r="L60" s="18">
        <f>IF(ISNUMBER(J60), $B64 * K60, "")</f>
        <v>2830.1886792452897</v>
      </c>
      <c r="M60" s="31">
        <v>32.1</v>
      </c>
      <c r="N60" s="32">
        <f t="shared" ref="N60:N63" si="29">IF(ISNUMBER(M60), (M60 - $B60) / $B60, "")</f>
        <v>9.4339622641509656E-3</v>
      </c>
      <c r="O60" s="18">
        <f>IF(ISNUMBER(M60), $B64 * N60, "")</f>
        <v>2830.1886792452897</v>
      </c>
      <c r="Q60" s="275"/>
      <c r="R60" s="275"/>
      <c r="S60" s="275"/>
    </row>
    <row r="61" spans="1:19" ht="17.25" customHeight="1" thickBot="1">
      <c r="A61" s="17" t="s">
        <v>172</v>
      </c>
      <c r="B61" s="15">
        <v>28.3</v>
      </c>
      <c r="C61" s="32">
        <v>-1.04895105E-2</v>
      </c>
      <c r="D61" s="15">
        <v>28.2</v>
      </c>
      <c r="E61" s="32">
        <f t="shared" si="26"/>
        <v>-3.5335689045936898E-3</v>
      </c>
      <c r="F61" s="18">
        <f>IF(ISNUMBER(D61), $B64 * E61, "")</f>
        <v>-1060.0706713781069</v>
      </c>
      <c r="G61" s="31">
        <v>28</v>
      </c>
      <c r="H61" s="32">
        <f t="shared" si="27"/>
        <v>-1.0600706713780944E-2</v>
      </c>
      <c r="I61" s="97">
        <f>IF(ISNUMBER(G61), $B64 * H61, "")</f>
        <v>-3180.212014134283</v>
      </c>
      <c r="J61" s="15">
        <v>28.1</v>
      </c>
      <c r="K61" s="32">
        <f t="shared" si="28"/>
        <v>-7.0671378091872539E-3</v>
      </c>
      <c r="L61" s="18">
        <f>IF(ISNUMBER(J61), $B64 * K61, "")</f>
        <v>-2120.1413427561761</v>
      </c>
      <c r="M61" s="31">
        <v>28.2</v>
      </c>
      <c r="N61" s="32">
        <f t="shared" si="29"/>
        <v>-3.5335689045936898E-3</v>
      </c>
      <c r="O61" s="18">
        <f>IF(ISNUMBER(M61), $B64 * N61, "")</f>
        <v>-1060.0706713781069</v>
      </c>
      <c r="Q61" s="275"/>
      <c r="R61" s="275"/>
      <c r="S61" s="275"/>
    </row>
    <row r="62" spans="1:19" ht="17.25" customHeight="1">
      <c r="A62" s="17" t="s">
        <v>254</v>
      </c>
      <c r="B62" s="15">
        <v>93</v>
      </c>
      <c r="C62" s="32">
        <v>-1.4830508500000001E-2</v>
      </c>
      <c r="D62" s="15">
        <v>92.4</v>
      </c>
      <c r="E62" s="32">
        <f t="shared" si="26"/>
        <v>-6.4516129032257457E-3</v>
      </c>
      <c r="F62" s="18">
        <f>IF(ISNUMBER(D62), $B64 * E62, "")</f>
        <v>-1935.4838709677238</v>
      </c>
      <c r="G62" s="31">
        <v>92.1</v>
      </c>
      <c r="H62" s="32">
        <f t="shared" si="27"/>
        <v>-9.6774193548387708E-3</v>
      </c>
      <c r="I62" s="97">
        <f>IF(ISNUMBER(G62), $B64 * H62, "")</f>
        <v>-2903.2258064516313</v>
      </c>
      <c r="J62" s="15">
        <v>92.4</v>
      </c>
      <c r="K62" s="32">
        <f t="shared" si="28"/>
        <v>-6.4516129032257457E-3</v>
      </c>
      <c r="L62" s="18">
        <f>IF(ISNUMBER(J62), $B64 * K62, "")</f>
        <v>-1935.4838709677238</v>
      </c>
      <c r="M62" s="31">
        <v>92.4</v>
      </c>
      <c r="N62" s="32">
        <f t="shared" si="29"/>
        <v>-6.4516129032257457E-3</v>
      </c>
      <c r="O62" s="18">
        <f>IF(ISNUMBER(M62), $B64 * N62, "")</f>
        <v>-1935.4838709677238</v>
      </c>
      <c r="Q62" s="297"/>
      <c r="R62" s="298"/>
      <c r="S62" s="299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00"/>
      <c r="R63" s="301"/>
      <c r="S63" s="302"/>
    </row>
    <row r="64" spans="1:19" ht="17.25" customHeight="1" thickBot="1">
      <c r="A64" s="26" t="s">
        <v>301</v>
      </c>
      <c r="B64" s="306">
        <f>$B$37</f>
        <v>300000</v>
      </c>
      <c r="C64" s="307"/>
      <c r="D64" s="26" t="s">
        <v>302</v>
      </c>
      <c r="E64" s="27">
        <f>IF(COUNT(E44:E63), SUM(E44:E63) / COUNT(E44:E63), 0)</f>
        <v>1.7011904959877054E-2</v>
      </c>
      <c r="F64" s="28">
        <f>SUM(F44:F63)</f>
        <v>96967.858271299192</v>
      </c>
      <c r="G64" s="26" t="s">
        <v>302</v>
      </c>
      <c r="H64" s="27">
        <f>IF(COUNT(H44:H63), SUM(H44:H63) / COUNT(H44:H63), 0)</f>
        <v>1.0964410328502251E-2</v>
      </c>
      <c r="I64" s="28">
        <f>SUM(I44:I63)</f>
        <v>62497.138872462834</v>
      </c>
      <c r="J64" s="26" t="s">
        <v>302</v>
      </c>
      <c r="K64" s="27">
        <f>IF(COUNT(K44:K63), SUM(K44:K63) / COUNT(K44:K63), 0)</f>
        <v>1.6520727415929037E-2</v>
      </c>
      <c r="L64" s="28">
        <f>SUM(L44:L63)</f>
        <v>94168.146270795492</v>
      </c>
      <c r="M64" s="26" t="s">
        <v>302</v>
      </c>
      <c r="N64" s="27">
        <f>IF(COUNT(N44:N63), SUM(N44:N63) / COUNT(N44:N63), 0)</f>
        <v>1.6121951928549837E-2</v>
      </c>
      <c r="O64" s="28">
        <f>SUM(O44:O63)</f>
        <v>91895.125992734043</v>
      </c>
      <c r="Q64" s="303"/>
      <c r="R64" s="304"/>
      <c r="S64" s="305"/>
    </row>
    <row r="65" spans="1:19" ht="17.25" customHeight="1"/>
    <row r="66" spans="1:19" ht="17.25" customHeight="1" thickBot="1"/>
    <row r="67" spans="1:19" ht="17.25" thickBot="1">
      <c r="A67" s="249" t="s">
        <v>45</v>
      </c>
      <c r="B67" s="250"/>
      <c r="C67" s="250"/>
      <c r="D67" s="250"/>
      <c r="E67" s="250"/>
      <c r="F67" s="250"/>
      <c r="G67" s="250"/>
      <c r="H67" s="250"/>
      <c r="I67" s="250"/>
      <c r="J67" s="250"/>
      <c r="K67" s="250"/>
      <c r="L67" s="250"/>
      <c r="M67" s="250"/>
      <c r="N67" s="250"/>
      <c r="O67" s="251"/>
      <c r="Q67" s="270"/>
      <c r="R67" s="270"/>
      <c r="S67" s="270"/>
    </row>
    <row r="68" spans="1:19" ht="17.25" thickBot="1">
      <c r="A68" s="107" t="s">
        <v>298</v>
      </c>
      <c r="B68" s="249" t="s">
        <v>49</v>
      </c>
      <c r="C68" s="251"/>
      <c r="D68" s="249" t="s">
        <v>58</v>
      </c>
      <c r="E68" s="250"/>
      <c r="F68" s="251"/>
      <c r="G68" s="276">
        <f>_xlfn.IFNA(VLOOKUP(B68, 현재가테이블!$B$2:$D$200, 2, FALSE), "-")</f>
        <v>60874000</v>
      </c>
      <c r="H68" s="277"/>
      <c r="I68" s="278"/>
      <c r="J68" s="249" t="s">
        <v>59</v>
      </c>
      <c r="K68" s="250"/>
      <c r="L68" s="251"/>
      <c r="M68" s="279">
        <f>_xlfn.IFNA(VLOOKUP(B68, 현재가테이블!$B$2:$D$200, 3, FALSE), "-")</f>
        <v>-1.4936000099999999E-2</v>
      </c>
      <c r="N68" s="280"/>
      <c r="O68" s="281"/>
      <c r="Q68" s="270"/>
      <c r="R68" s="270"/>
      <c r="S68" s="270"/>
    </row>
    <row r="69" spans="1:19" ht="17.25" thickBot="1">
      <c r="A69" s="293" t="s">
        <v>55</v>
      </c>
      <c r="B69" s="295" t="str">
        <f>TEXT($G$1, "[$-ko-KR]yyyy-mm-dd(ddd) ") &amp; "오전 00:00"</f>
        <v>2021-05-01(토) 오전 00:00</v>
      </c>
      <c r="C69" s="296"/>
      <c r="D69" s="272" t="str">
        <f>TEXT($G$1, "[$-ko-KR]yyyy-mm-dd(ddd) ") &amp; "오후 14:00"</f>
        <v>2021-05-01(토) 오후 14:00</v>
      </c>
      <c r="E69" s="273"/>
      <c r="F69" s="274"/>
      <c r="G69" s="272" t="str">
        <f>TEXT($G$1, "[$-ko-KR]yyyy-mm-dd(ddd) ") &amp; "오후 19:00"</f>
        <v>2021-05-01(토) 오후 19:00</v>
      </c>
      <c r="H69" s="273"/>
      <c r="I69" s="274"/>
      <c r="J69" s="272" t="str">
        <f>TEXT($G$1, "[$-ko-KR]yyyy-mm-dd(ddd) ") &amp; "오후 21:00"</f>
        <v>2021-05-01(토) 오후 21:00</v>
      </c>
      <c r="K69" s="273"/>
      <c r="L69" s="274"/>
      <c r="M69" s="272" t="str">
        <f>TEXT($G$1+1, "[$-ko-KR]yyyy-mm-dd(ddd) ") &amp; "오전 00:00"</f>
        <v>2021-05-02(일) 오전 00:00</v>
      </c>
      <c r="N69" s="273"/>
      <c r="O69" s="274"/>
      <c r="Q69" s="270"/>
      <c r="R69" s="270"/>
      <c r="S69" s="270"/>
    </row>
    <row r="70" spans="1:19" ht="17.25" thickBot="1">
      <c r="A70" s="294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75"/>
      <c r="R70" s="275"/>
      <c r="S70" s="275"/>
    </row>
    <row r="71" spans="1:19" ht="17.25" thickBot="1">
      <c r="A71" s="12" t="s">
        <v>116</v>
      </c>
      <c r="B71" s="13">
        <v>741</v>
      </c>
      <c r="C71" s="14">
        <v>0.1010401189</v>
      </c>
      <c r="D71" s="13">
        <v>731</v>
      </c>
      <c r="E71" s="14">
        <f>IF(ISNUMBER(D71), (D71 - $B71) / $B71, "")</f>
        <v>-1.3495276653171391E-2</v>
      </c>
      <c r="F71" s="16">
        <f>IF(ISNUMBER(D71), $B91 * E71, "")</f>
        <v>-4048.5829959514172</v>
      </c>
      <c r="G71" s="29">
        <v>717</v>
      </c>
      <c r="H71" s="14">
        <f>IF(ISNUMBER(G71), (G71 - $B71) / $B71, "")</f>
        <v>-3.2388663967611336E-2</v>
      </c>
      <c r="I71" s="96">
        <f>IF(ISNUMBER(G71), $B91 * H71, "")</f>
        <v>-9716.5991902834012</v>
      </c>
      <c r="J71" s="13">
        <v>728</v>
      </c>
      <c r="K71" s="14">
        <f>IF(ISNUMBER(J71), (J71 - $B71) / $B71, "")</f>
        <v>-1.7543859649122806E-2</v>
      </c>
      <c r="L71" s="16">
        <f>IF(ISNUMBER(J71), $B91 * K71, "")</f>
        <v>-5263.1578947368416</v>
      </c>
      <c r="M71" s="29">
        <v>715</v>
      </c>
      <c r="N71" s="14">
        <f>IF(ISNUMBER(M71), (M71 - $B71) / $B71, "")</f>
        <v>-3.5087719298245612E-2</v>
      </c>
      <c r="O71" s="16">
        <f>IF(ISNUMBER(M71), $B91 * N71, "")</f>
        <v>-10526.315789473683</v>
      </c>
      <c r="Q71" s="270"/>
      <c r="R71" s="270"/>
      <c r="S71" s="270"/>
    </row>
    <row r="72" spans="1:19" ht="17.25" thickBot="1">
      <c r="A72" s="17" t="s">
        <v>168</v>
      </c>
      <c r="B72" s="15">
        <v>205</v>
      </c>
      <c r="C72" s="32">
        <v>7.3298429299999995E-2</v>
      </c>
      <c r="D72" s="15">
        <v>206</v>
      </c>
      <c r="E72" s="32">
        <f t="shared" ref="E72:E75" si="30">IF(ISNUMBER(D72), (D72 - $B72) / $B72, "")</f>
        <v>4.8780487804878049E-3</v>
      </c>
      <c r="F72" s="18">
        <f>IF(ISNUMBER(D72), $B91 * E72, "")</f>
        <v>1463.4146341463415</v>
      </c>
      <c r="G72" s="31">
        <v>204</v>
      </c>
      <c r="H72" s="32">
        <f t="shared" ref="H72:H75" si="31">IF(ISNUMBER(G72), (G72 - $B72) / $B72, "")</f>
        <v>-4.8780487804878049E-3</v>
      </c>
      <c r="I72" s="97">
        <f>IF(ISNUMBER(G72), $B91 * H72, "")</f>
        <v>-1463.4146341463415</v>
      </c>
      <c r="J72" s="15">
        <v>206</v>
      </c>
      <c r="K72" s="32">
        <f t="shared" ref="K72:K75" si="32">IF(ISNUMBER(J72), (J72 - $B72) / $B72, "")</f>
        <v>4.8780487804878049E-3</v>
      </c>
      <c r="L72" s="18">
        <f>IF(ISNUMBER(J72), $B91 * K72, "")</f>
        <v>1463.4146341463415</v>
      </c>
      <c r="M72" s="31">
        <v>205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270"/>
      <c r="R72" s="270"/>
      <c r="S72" s="270"/>
    </row>
    <row r="73" spans="1:19" ht="17.25" thickBot="1">
      <c r="A73" s="17" t="s">
        <v>51</v>
      </c>
      <c r="B73" s="15">
        <v>626</v>
      </c>
      <c r="C73" s="32">
        <v>6.8259385699999994E-2</v>
      </c>
      <c r="D73" s="15">
        <v>627</v>
      </c>
      <c r="E73" s="32">
        <f t="shared" si="30"/>
        <v>1.5974440894568689E-3</v>
      </c>
      <c r="F73" s="18">
        <f>IF(ISNUMBER(D73), $B91 * E73, "")</f>
        <v>479.23322683706067</v>
      </c>
      <c r="G73" s="31">
        <v>619</v>
      </c>
      <c r="H73" s="32">
        <f t="shared" si="31"/>
        <v>-1.1182108626198083E-2</v>
      </c>
      <c r="I73" s="97">
        <f>IF(ISNUMBER(G73), $B91 * H73, "")</f>
        <v>-3354.6325878594248</v>
      </c>
      <c r="J73" s="15">
        <v>626</v>
      </c>
      <c r="K73" s="32">
        <f t="shared" si="32"/>
        <v>0</v>
      </c>
      <c r="L73" s="18">
        <f>IF(ISNUMBER(J73), $B91 * K73, "")</f>
        <v>0</v>
      </c>
      <c r="M73" s="31">
        <v>620</v>
      </c>
      <c r="N73" s="32">
        <f t="shared" si="33"/>
        <v>-9.5846645367412137E-3</v>
      </c>
      <c r="O73" s="18">
        <f>IF(ISNUMBER(M73), $B91 * N73, "")</f>
        <v>-2875.3993610223642</v>
      </c>
      <c r="Q73" s="275"/>
      <c r="R73" s="275"/>
      <c r="S73" s="275"/>
    </row>
    <row r="74" spans="1:19" ht="17.25" thickBot="1">
      <c r="A74" s="17" t="s">
        <v>136</v>
      </c>
      <c r="B74" s="15">
        <v>244</v>
      </c>
      <c r="C74" s="32">
        <v>6.5502183399999997E-2</v>
      </c>
      <c r="D74" s="15">
        <v>247</v>
      </c>
      <c r="E74" s="32">
        <f t="shared" si="30"/>
        <v>1.2295081967213115E-2</v>
      </c>
      <c r="F74" s="18">
        <f>IF(ISNUMBER(D74), $B91 * E74, "")</f>
        <v>3688.5245901639341</v>
      </c>
      <c r="G74" s="31">
        <v>245</v>
      </c>
      <c r="H74" s="32">
        <f t="shared" si="31"/>
        <v>4.0983606557377051E-3</v>
      </c>
      <c r="I74" s="97">
        <f>IF(ISNUMBER(G74), $B91 * H74, "")</f>
        <v>1229.5081967213116</v>
      </c>
      <c r="J74" s="15">
        <v>254</v>
      </c>
      <c r="K74" s="32">
        <f t="shared" si="32"/>
        <v>4.0983606557377046E-2</v>
      </c>
      <c r="L74" s="18">
        <f>IF(ISNUMBER(J74), $B91 * K74, "")</f>
        <v>12295.081967213115</v>
      </c>
      <c r="M74" s="31">
        <v>250</v>
      </c>
      <c r="N74" s="32">
        <f t="shared" si="33"/>
        <v>2.4590163934426229E-2</v>
      </c>
      <c r="O74" s="18">
        <f>IF(ISNUMBER(M74), $B91 * N74, "")</f>
        <v>7377.0491803278683</v>
      </c>
      <c r="Q74" s="275"/>
      <c r="R74" s="275"/>
      <c r="S74" s="275"/>
    </row>
    <row r="75" spans="1:19" ht="17.25" thickBot="1">
      <c r="A75" s="19" t="s">
        <v>210</v>
      </c>
      <c r="B75" s="20">
        <v>217</v>
      </c>
      <c r="C75" s="21">
        <v>5.85365854E-2</v>
      </c>
      <c r="D75" s="20">
        <v>217</v>
      </c>
      <c r="E75" s="21">
        <f t="shared" si="30"/>
        <v>0</v>
      </c>
      <c r="F75" s="22">
        <f>IF(ISNUMBER(D75), $B91 * E75, "")</f>
        <v>0</v>
      </c>
      <c r="G75" s="30">
        <v>213</v>
      </c>
      <c r="H75" s="21">
        <f t="shared" si="31"/>
        <v>-1.8433179723502304E-2</v>
      </c>
      <c r="I75" s="101">
        <f>IF(ISNUMBER(G75), $B91 * H75, "")</f>
        <v>-5529.9539170506914</v>
      </c>
      <c r="J75" s="20">
        <v>215</v>
      </c>
      <c r="K75" s="21">
        <f t="shared" si="32"/>
        <v>-9.2165898617511521E-3</v>
      </c>
      <c r="L75" s="22">
        <f>IF(ISNUMBER(J75), $B91 * K75, "")</f>
        <v>-2764.9769585253457</v>
      </c>
      <c r="M75" s="30">
        <v>214</v>
      </c>
      <c r="N75" s="21">
        <f t="shared" si="33"/>
        <v>-1.3824884792626729E-2</v>
      </c>
      <c r="O75" s="22">
        <f>IF(ISNUMBER(M75), $B91 * N75, "")</f>
        <v>-4147.4654377880188</v>
      </c>
      <c r="Q75" s="275"/>
      <c r="R75" s="275"/>
      <c r="S75" s="275"/>
    </row>
    <row r="76" spans="1:19" ht="17.25" thickBot="1">
      <c r="A76" s="17" t="s">
        <v>156</v>
      </c>
      <c r="B76" s="102">
        <v>151</v>
      </c>
      <c r="C76" s="103">
        <v>4.13793103E-2</v>
      </c>
      <c r="D76" s="102">
        <v>156</v>
      </c>
      <c r="E76" s="103">
        <f>IF(ISNUMBER(D76), (D76 - $B76) / $B76, "")</f>
        <v>3.3112582781456956E-2</v>
      </c>
      <c r="F76" s="104">
        <f>IF(ISNUMBER(D76), $B91 * E76, "")</f>
        <v>9933.7748344370866</v>
      </c>
      <c r="G76" s="105">
        <v>155</v>
      </c>
      <c r="H76" s="103">
        <f>IF(ISNUMBER(G76), (G76 - $B76) / $B76, "")</f>
        <v>2.6490066225165563E-2</v>
      </c>
      <c r="I76" s="106">
        <f>IF(ISNUMBER(G76), $B91 * H76, "")</f>
        <v>7947.0198675496686</v>
      </c>
      <c r="J76" s="102">
        <v>156</v>
      </c>
      <c r="K76" s="103">
        <f>IF(ISNUMBER(J76), (J76 - $B76) / $B76, "")</f>
        <v>3.3112582781456956E-2</v>
      </c>
      <c r="L76" s="104">
        <f>IF(ISNUMBER(J76), $B91 * K76, "")</f>
        <v>9933.7748344370866</v>
      </c>
      <c r="M76" s="105">
        <v>153</v>
      </c>
      <c r="N76" s="103">
        <f>IF(ISNUMBER(M76), (M76 - $B76) / $B76, "")</f>
        <v>1.3245033112582781E-2</v>
      </c>
      <c r="O76" s="104">
        <f>IF(ISNUMBER(M76), $B91 * N76, "")</f>
        <v>3973.5099337748343</v>
      </c>
      <c r="Q76" s="275"/>
      <c r="R76" s="275"/>
      <c r="S76" s="275"/>
    </row>
    <row r="77" spans="1:19" ht="17.25" thickBot="1">
      <c r="A77" s="17" t="s">
        <v>120</v>
      </c>
      <c r="B77" s="15">
        <v>228</v>
      </c>
      <c r="C77" s="32">
        <v>3.6363636400000003E-2</v>
      </c>
      <c r="D77" s="15">
        <v>231</v>
      </c>
      <c r="E77" s="32">
        <f t="shared" ref="E77:E80" si="34">IF(ISNUMBER(D77), (D77 - $B77) / $B77, "")</f>
        <v>1.3157894736842105E-2</v>
      </c>
      <c r="F77" s="18">
        <f>IF(ISNUMBER(D77), $B91 * E77, "")</f>
        <v>3947.3684210526312</v>
      </c>
      <c r="G77" s="31">
        <v>229</v>
      </c>
      <c r="H77" s="32">
        <f t="shared" ref="H77:H80" si="35">IF(ISNUMBER(G77), (G77 - $B77) / $B77, "")</f>
        <v>4.3859649122807015E-3</v>
      </c>
      <c r="I77" s="97">
        <f>IF(ISNUMBER(G77), $B91 * H77, "")</f>
        <v>1315.7894736842104</v>
      </c>
      <c r="J77" s="15">
        <v>231</v>
      </c>
      <c r="K77" s="32">
        <f t="shared" ref="K77:K80" si="36">IF(ISNUMBER(J77), (J77 - $B77) / $B77, "")</f>
        <v>1.3157894736842105E-2</v>
      </c>
      <c r="L77" s="18">
        <f>IF(ISNUMBER(J77), $B91 * K77, "")</f>
        <v>3947.3684210526312</v>
      </c>
      <c r="M77" s="31">
        <v>230</v>
      </c>
      <c r="N77" s="32">
        <f t="shared" ref="N77:N80" si="37">IF(ISNUMBER(M77), (M77 - $B77) / $B77, "")</f>
        <v>8.771929824561403E-3</v>
      </c>
      <c r="O77" s="18">
        <f>IF(ISNUMBER(M77), $B91 * N77, "")</f>
        <v>2631.5789473684208</v>
      </c>
      <c r="Q77" s="275"/>
      <c r="R77" s="275"/>
      <c r="S77" s="275"/>
    </row>
    <row r="78" spans="1:19" ht="17.25" thickBot="1">
      <c r="A78" s="17" t="s">
        <v>296</v>
      </c>
      <c r="B78" s="15">
        <v>374</v>
      </c>
      <c r="C78" s="32">
        <v>3.0303030299999999E-2</v>
      </c>
      <c r="D78" s="15">
        <v>432</v>
      </c>
      <c r="E78" s="32">
        <f t="shared" si="34"/>
        <v>0.15508021390374332</v>
      </c>
      <c r="F78" s="18">
        <f>IF(ISNUMBER(D78), $B91 * E78, "")</f>
        <v>46524.064171122998</v>
      </c>
      <c r="G78" s="31">
        <v>423</v>
      </c>
      <c r="H78" s="32">
        <f t="shared" si="35"/>
        <v>0.13101604278074866</v>
      </c>
      <c r="I78" s="97">
        <f>IF(ISNUMBER(G78), $B91 * H78, "")</f>
        <v>39304.812834224598</v>
      </c>
      <c r="J78" s="15">
        <v>428</v>
      </c>
      <c r="K78" s="32">
        <f t="shared" si="36"/>
        <v>0.14438502673796791</v>
      </c>
      <c r="L78" s="18">
        <f>IF(ISNUMBER(J78), $B91 * K78, "")</f>
        <v>43315.508021390371</v>
      </c>
      <c r="M78" s="31">
        <v>427</v>
      </c>
      <c r="N78" s="32">
        <f t="shared" si="37"/>
        <v>0.14171122994652408</v>
      </c>
      <c r="O78" s="18">
        <f>IF(ISNUMBER(M78), $B91 * N78, "")</f>
        <v>42513.368983957225</v>
      </c>
      <c r="Q78" s="275"/>
      <c r="R78" s="275"/>
      <c r="S78" s="275"/>
    </row>
    <row r="79" spans="1:19" ht="17.25" thickBot="1">
      <c r="A79" s="17" t="s">
        <v>54</v>
      </c>
      <c r="B79" s="15">
        <v>351</v>
      </c>
      <c r="C79" s="32">
        <v>2.93255132E-2</v>
      </c>
      <c r="D79" s="15">
        <v>351</v>
      </c>
      <c r="E79" s="32">
        <f t="shared" si="34"/>
        <v>0</v>
      </c>
      <c r="F79" s="18">
        <f>IF(ISNUMBER(D79), $B91 * E79, "")</f>
        <v>0</v>
      </c>
      <c r="G79" s="31">
        <v>348</v>
      </c>
      <c r="H79" s="32">
        <f t="shared" si="35"/>
        <v>-8.5470085470085479E-3</v>
      </c>
      <c r="I79" s="97">
        <f>IF(ISNUMBER(G79), $B91 * H79, "")</f>
        <v>-2564.1025641025644</v>
      </c>
      <c r="J79" s="15">
        <v>355</v>
      </c>
      <c r="K79" s="32">
        <f t="shared" si="36"/>
        <v>1.1396011396011397E-2</v>
      </c>
      <c r="L79" s="18">
        <f>IF(ISNUMBER(J79), $B91 * K79, "")</f>
        <v>3418.8034188034189</v>
      </c>
      <c r="M79" s="31">
        <v>369</v>
      </c>
      <c r="N79" s="32">
        <f t="shared" si="37"/>
        <v>5.128205128205128E-2</v>
      </c>
      <c r="O79" s="18">
        <f>IF(ISNUMBER(M79), $B91 * N79, "")</f>
        <v>15384.615384615385</v>
      </c>
      <c r="Q79" s="33"/>
      <c r="R79" s="33"/>
    </row>
    <row r="80" spans="1:19" ht="17.25" thickBot="1">
      <c r="A80" s="23" t="s">
        <v>232</v>
      </c>
      <c r="B80" s="24">
        <v>184</v>
      </c>
      <c r="C80" s="25">
        <v>2.7932960900000001E-2</v>
      </c>
      <c r="D80" s="24">
        <v>201</v>
      </c>
      <c r="E80" s="25">
        <f t="shared" si="34"/>
        <v>9.2391304347826081E-2</v>
      </c>
      <c r="F80" s="100">
        <f>IF(ISNUMBER(D80), $B91 * E80, "")</f>
        <v>27717.391304347824</v>
      </c>
      <c r="G80" s="98">
        <v>200</v>
      </c>
      <c r="H80" s="25">
        <f t="shared" si="35"/>
        <v>8.6956521739130432E-2</v>
      </c>
      <c r="I80" s="99">
        <f>IF(ISNUMBER(G80), $B91 * H80, "")</f>
        <v>26086.956521739128</v>
      </c>
      <c r="J80" s="24">
        <v>203</v>
      </c>
      <c r="K80" s="25">
        <f t="shared" si="36"/>
        <v>0.10326086956521739</v>
      </c>
      <c r="L80" s="100">
        <f>IF(ISNUMBER(J80), $B91 * K80, "")</f>
        <v>30978.260869565216</v>
      </c>
      <c r="M80" s="98">
        <v>202</v>
      </c>
      <c r="N80" s="25">
        <f t="shared" si="37"/>
        <v>9.7826086956521743E-2</v>
      </c>
      <c r="O80" s="100">
        <f>IF(ISNUMBER(M80), $B91 * N80, "")</f>
        <v>29347.826086956524</v>
      </c>
      <c r="Q80" s="284"/>
      <c r="R80" s="285"/>
      <c r="S80" s="286"/>
    </row>
    <row r="81" spans="1:19">
      <c r="A81" s="12" t="s">
        <v>57</v>
      </c>
      <c r="B81" s="13">
        <v>411</v>
      </c>
      <c r="C81" s="14">
        <v>2.75E-2</v>
      </c>
      <c r="D81" s="13">
        <v>413</v>
      </c>
      <c r="E81" s="14">
        <f>IF(ISNUMBER(D81), (D81 - $B81) / $B81, "")</f>
        <v>4.8661800486618006E-3</v>
      </c>
      <c r="F81" s="16">
        <f>IF(ISNUMBER(D81), $B91 * E81, "")</f>
        <v>1459.8540145985403</v>
      </c>
      <c r="G81" s="29">
        <v>407</v>
      </c>
      <c r="H81" s="14">
        <f>IF(ISNUMBER(G81), (G81 - $B81) / $B81, "")</f>
        <v>-9.7323600973236012E-3</v>
      </c>
      <c r="I81" s="96">
        <f>IF(ISNUMBER(G81), $B91 * H81, "")</f>
        <v>-2919.7080291970806</v>
      </c>
      <c r="J81" s="13">
        <v>412</v>
      </c>
      <c r="K81" s="14">
        <f>IF(ISNUMBER(J81), (J81 - $B81) / $B81, "")</f>
        <v>2.4330900243309003E-3</v>
      </c>
      <c r="L81" s="16">
        <f>IF(ISNUMBER(J81), $B91 * K81, "")</f>
        <v>729.92700729927014</v>
      </c>
      <c r="M81" s="29">
        <v>411</v>
      </c>
      <c r="N81" s="14">
        <f>IF(ISNUMBER(M81), (M81 - $B81) / $B81, "")</f>
        <v>0</v>
      </c>
      <c r="O81" s="16">
        <f>IF(ISNUMBER(M81), $B91 * N81, "")</f>
        <v>0</v>
      </c>
      <c r="Q81" s="287"/>
      <c r="R81" s="288"/>
      <c r="S81" s="289"/>
    </row>
    <row r="82" spans="1:19" ht="17.25" thickBot="1">
      <c r="A82" s="17" t="s">
        <v>278</v>
      </c>
      <c r="B82" s="15">
        <v>150</v>
      </c>
      <c r="C82" s="32">
        <v>2.73972603E-2</v>
      </c>
      <c r="D82" s="15">
        <v>155</v>
      </c>
      <c r="E82" s="32">
        <f t="shared" ref="E82:E85" si="38">IF(ISNUMBER(D82), (D82 - $B82) / $B82, "")</f>
        <v>3.3333333333333333E-2</v>
      </c>
      <c r="F82" s="18">
        <f>IF(ISNUMBER(D82), $B91 * E82, "")</f>
        <v>10000</v>
      </c>
      <c r="G82" s="31">
        <v>154</v>
      </c>
      <c r="H82" s="32">
        <f t="shared" ref="H82:H85" si="39">IF(ISNUMBER(G82), (G82 - $B82) / $B82, "")</f>
        <v>2.6666666666666668E-2</v>
      </c>
      <c r="I82" s="97">
        <f>IF(ISNUMBER(G82), $B91 * H82, "")</f>
        <v>8000.0000000000009</v>
      </c>
      <c r="J82" s="15">
        <v>157</v>
      </c>
      <c r="K82" s="32">
        <f t="shared" ref="K82:K85" si="40">IF(ISNUMBER(J82), (J82 - $B82) / $B82, "")</f>
        <v>4.6666666666666669E-2</v>
      </c>
      <c r="L82" s="18">
        <f>IF(ISNUMBER(J82), $B91 * K82, "")</f>
        <v>14000</v>
      </c>
      <c r="M82" s="31">
        <v>154</v>
      </c>
      <c r="N82" s="32">
        <f t="shared" ref="N82:N85" si="41">IF(ISNUMBER(M82), (M82 - $B82) / $B82, "")</f>
        <v>2.6666666666666668E-2</v>
      </c>
      <c r="O82" s="18">
        <f>IF(ISNUMBER(M82), $B91 * N82, "")</f>
        <v>8000.0000000000009</v>
      </c>
      <c r="Q82" s="290"/>
      <c r="R82" s="291"/>
      <c r="S82" s="292"/>
    </row>
    <row r="83" spans="1:19" ht="17.25" thickBot="1">
      <c r="A83" s="17" t="s">
        <v>134</v>
      </c>
      <c r="B83" s="15">
        <v>156</v>
      </c>
      <c r="C83" s="32">
        <v>2.6315789499999999E-2</v>
      </c>
      <c r="D83" s="15">
        <v>157</v>
      </c>
      <c r="E83" s="32">
        <f t="shared" si="38"/>
        <v>6.41025641025641E-3</v>
      </c>
      <c r="F83" s="18">
        <f>IF(ISNUMBER(D83), $B91 * E83, "")</f>
        <v>1923.0769230769231</v>
      </c>
      <c r="G83" s="31">
        <v>157</v>
      </c>
      <c r="H83" s="32">
        <f t="shared" si="39"/>
        <v>6.41025641025641E-3</v>
      </c>
      <c r="I83" s="97">
        <f>IF(ISNUMBER(G83), $B91 * H83, "")</f>
        <v>1923.0769230769231</v>
      </c>
      <c r="J83" s="15">
        <v>158</v>
      </c>
      <c r="K83" s="32">
        <f t="shared" si="40"/>
        <v>1.282051282051282E-2</v>
      </c>
      <c r="L83" s="18">
        <f>IF(ISNUMBER(J83), $B91 * K83, "")</f>
        <v>3846.1538461538462</v>
      </c>
      <c r="M83" s="31">
        <v>158</v>
      </c>
      <c r="N83" s="32">
        <f t="shared" si="41"/>
        <v>1.282051282051282E-2</v>
      </c>
      <c r="O83" s="18">
        <f>IF(ISNUMBER(M83), $B91 * N83, "")</f>
        <v>3846.1538461538462</v>
      </c>
      <c r="Q83" s="275"/>
      <c r="R83" s="275"/>
      <c r="S83" s="275"/>
    </row>
    <row r="84" spans="1:19" ht="17.25" thickBot="1">
      <c r="A84" s="17" t="s">
        <v>132</v>
      </c>
      <c r="B84" s="15">
        <v>234</v>
      </c>
      <c r="C84" s="32">
        <v>2.6315789499999999E-2</v>
      </c>
      <c r="D84" s="15">
        <v>239</v>
      </c>
      <c r="E84" s="32">
        <f t="shared" si="38"/>
        <v>2.1367521367521368E-2</v>
      </c>
      <c r="F84" s="18">
        <f>IF(ISNUMBER(D84), $B91 * E84, "")</f>
        <v>6410.2564102564102</v>
      </c>
      <c r="G84" s="31">
        <v>234</v>
      </c>
      <c r="H84" s="32">
        <f t="shared" si="39"/>
        <v>0</v>
      </c>
      <c r="I84" s="97">
        <f>IF(ISNUMBER(G84), $B91 * H84, "")</f>
        <v>0</v>
      </c>
      <c r="J84" s="15">
        <v>238</v>
      </c>
      <c r="K84" s="32">
        <f t="shared" si="40"/>
        <v>1.7094017094017096E-2</v>
      </c>
      <c r="L84" s="18">
        <f>IF(ISNUMBER(J84), $B91 * K84, "")</f>
        <v>5128.2051282051289</v>
      </c>
      <c r="M84" s="31">
        <v>235</v>
      </c>
      <c r="N84" s="32">
        <f t="shared" si="41"/>
        <v>4.2735042735042739E-3</v>
      </c>
      <c r="O84" s="18">
        <f>IF(ISNUMBER(M84), $B91 * N84, "")</f>
        <v>1282.0512820512822</v>
      </c>
      <c r="Q84" s="270"/>
      <c r="R84" s="270"/>
      <c r="S84" s="270"/>
    </row>
    <row r="85" spans="1:19" ht="17.25" thickBot="1">
      <c r="A85" s="19" t="s">
        <v>122</v>
      </c>
      <c r="B85" s="20">
        <v>121</v>
      </c>
      <c r="C85" s="21">
        <v>2.54237288E-2</v>
      </c>
      <c r="D85" s="20">
        <v>128</v>
      </c>
      <c r="E85" s="21">
        <f t="shared" si="38"/>
        <v>5.7851239669421489E-2</v>
      </c>
      <c r="F85" s="22">
        <f>IF(ISNUMBER(D85), $B91 * E85, "")</f>
        <v>17355.371900826445</v>
      </c>
      <c r="G85" s="30">
        <v>128</v>
      </c>
      <c r="H85" s="21">
        <f t="shared" si="39"/>
        <v>5.7851239669421489E-2</v>
      </c>
      <c r="I85" s="101">
        <f>IF(ISNUMBER(G85), $B91 * H85, "")</f>
        <v>17355.371900826445</v>
      </c>
      <c r="J85" s="20">
        <v>128</v>
      </c>
      <c r="K85" s="21">
        <f t="shared" si="40"/>
        <v>5.7851239669421489E-2</v>
      </c>
      <c r="L85" s="22">
        <f>IF(ISNUMBER(J85), $B91 * K85, "")</f>
        <v>17355.371900826445</v>
      </c>
      <c r="M85" s="30">
        <v>126</v>
      </c>
      <c r="N85" s="21">
        <f t="shared" si="41"/>
        <v>4.1322314049586778E-2</v>
      </c>
      <c r="O85" s="22">
        <f>IF(ISNUMBER(M85), $B91 * N85, "")</f>
        <v>12396.694214876034</v>
      </c>
      <c r="Q85" s="270"/>
      <c r="R85" s="270"/>
      <c r="S85" s="270"/>
    </row>
    <row r="86" spans="1:19" ht="17.25" thickBot="1">
      <c r="A86" s="17" t="s">
        <v>142</v>
      </c>
      <c r="B86" s="102">
        <v>410</v>
      </c>
      <c r="C86" s="103">
        <v>2.2443890300000002E-2</v>
      </c>
      <c r="D86" s="102">
        <v>441</v>
      </c>
      <c r="E86" s="103">
        <f>IF(ISNUMBER(D86), (D86 - $B86) / $B86, "")</f>
        <v>7.5609756097560973E-2</v>
      </c>
      <c r="F86" s="104">
        <f>IF(ISNUMBER(D86), $B91 * E86, "")</f>
        <v>22682.926829268294</v>
      </c>
      <c r="G86" s="105">
        <v>428</v>
      </c>
      <c r="H86" s="103">
        <f>IF(ISNUMBER(G86), (G86 - $B86) / $B86, "")</f>
        <v>4.3902439024390241E-2</v>
      </c>
      <c r="I86" s="106">
        <f>IF(ISNUMBER(G86), $B91 * H86, "")</f>
        <v>13170.731707317073</v>
      </c>
      <c r="J86" s="102">
        <v>430</v>
      </c>
      <c r="K86" s="103">
        <f>IF(ISNUMBER(J86), (J86 - $B86) / $B86, "")</f>
        <v>4.878048780487805E-2</v>
      </c>
      <c r="L86" s="104">
        <f>IF(ISNUMBER(J86), $B91 * K86, "")</f>
        <v>14634.146341463415</v>
      </c>
      <c r="M86" s="105">
        <v>428</v>
      </c>
      <c r="N86" s="103">
        <f>IF(ISNUMBER(M86), (M86 - $B86) / $B86, "")</f>
        <v>4.3902439024390241E-2</v>
      </c>
      <c r="O86" s="104">
        <f>IF(ISNUMBER(M86), $B91 * N86, "")</f>
        <v>13170.731707317073</v>
      </c>
      <c r="Q86" s="275"/>
      <c r="R86" s="275"/>
      <c r="S86" s="275"/>
    </row>
    <row r="87" spans="1:19" ht="17.25" thickBot="1">
      <c r="A87" s="17" t="s">
        <v>208</v>
      </c>
      <c r="B87" s="15">
        <v>523</v>
      </c>
      <c r="C87" s="32">
        <v>2.1484375E-2</v>
      </c>
      <c r="D87" s="15">
        <v>522</v>
      </c>
      <c r="E87" s="32">
        <f t="shared" ref="E87:E90" si="42">IF(ISNUMBER(D87), (D87 - $B87) / $B87, "")</f>
        <v>-1.9120458891013384E-3</v>
      </c>
      <c r="F87" s="18">
        <f>IF(ISNUMBER(D87), $B91 * E87, "")</f>
        <v>-573.61376673040149</v>
      </c>
      <c r="G87" s="31">
        <v>521</v>
      </c>
      <c r="H87" s="32">
        <f t="shared" ref="H87:H90" si="43">IF(ISNUMBER(G87), (G87 - $B87) / $B87, "")</f>
        <v>-3.8240917782026767E-3</v>
      </c>
      <c r="I87" s="97">
        <f>IF(ISNUMBER(G87), $B91 * H87, "")</f>
        <v>-1147.227533460803</v>
      </c>
      <c r="J87" s="15">
        <v>530</v>
      </c>
      <c r="K87" s="32">
        <f t="shared" ref="K87:K90" si="44">IF(ISNUMBER(J87), (J87 - $B87) / $B87, "")</f>
        <v>1.338432122370937E-2</v>
      </c>
      <c r="L87" s="18">
        <f>IF(ISNUMBER(J87), $B91 * K87, "")</f>
        <v>4015.2963671128109</v>
      </c>
      <c r="M87" s="31">
        <v>525</v>
      </c>
      <c r="N87" s="32">
        <f t="shared" ref="N87:N90" si="45">IF(ISNUMBER(M87), (M87 - $B87) / $B87, "")</f>
        <v>3.8240917782026767E-3</v>
      </c>
      <c r="O87" s="18">
        <f>IF(ISNUMBER(M87), $B91 * N87, "")</f>
        <v>1147.227533460803</v>
      </c>
      <c r="Q87" s="275"/>
      <c r="R87" s="275"/>
      <c r="S87" s="275"/>
    </row>
    <row r="88" spans="1:19" ht="17.25" thickBot="1">
      <c r="A88" s="17" t="s">
        <v>148</v>
      </c>
      <c r="B88" s="15">
        <v>198</v>
      </c>
      <c r="C88" s="32">
        <v>1.5384615399999999E-2</v>
      </c>
      <c r="D88" s="15">
        <v>214</v>
      </c>
      <c r="E88" s="32">
        <f t="shared" si="42"/>
        <v>8.0808080808080815E-2</v>
      </c>
      <c r="F88" s="18">
        <f>IF(ISNUMBER(D88), $B91 * E88, "")</f>
        <v>24242.424242424244</v>
      </c>
      <c r="G88" s="31">
        <v>213</v>
      </c>
      <c r="H88" s="32">
        <f t="shared" si="43"/>
        <v>7.575757575757576E-2</v>
      </c>
      <c r="I88" s="97">
        <f>IF(ISNUMBER(G88), $B91 * H88, "")</f>
        <v>22727.272727272728</v>
      </c>
      <c r="J88" s="15">
        <v>216</v>
      </c>
      <c r="K88" s="32">
        <f t="shared" si="44"/>
        <v>9.0909090909090912E-2</v>
      </c>
      <c r="L88" s="18">
        <f>IF(ISNUMBER(J88), $B91 * K88, "")</f>
        <v>27272.727272727272</v>
      </c>
      <c r="M88" s="31">
        <v>209</v>
      </c>
      <c r="N88" s="32">
        <f t="shared" si="45"/>
        <v>5.5555555555555552E-2</v>
      </c>
      <c r="O88" s="18">
        <f>IF(ISNUMBER(M88), $B91 * N88, "")</f>
        <v>16666.666666666664</v>
      </c>
      <c r="Q88" s="275"/>
      <c r="R88" s="275"/>
      <c r="S88" s="275"/>
    </row>
    <row r="89" spans="1:19">
      <c r="A89" s="17" t="s">
        <v>182</v>
      </c>
      <c r="B89" s="15">
        <v>487</v>
      </c>
      <c r="C89" s="32">
        <v>1.4583333299999999E-2</v>
      </c>
      <c r="D89" s="15">
        <v>500</v>
      </c>
      <c r="E89" s="32">
        <f t="shared" si="42"/>
        <v>2.6694045174537988E-2</v>
      </c>
      <c r="F89" s="18">
        <f>IF(ISNUMBER(D89), $B91 * E89, "")</f>
        <v>8008.2135523613961</v>
      </c>
      <c r="G89" s="31">
        <v>493</v>
      </c>
      <c r="H89" s="32">
        <f t="shared" si="43"/>
        <v>1.2320328542094456E-2</v>
      </c>
      <c r="I89" s="97">
        <f>IF(ISNUMBER(G89), $B91 * H89, "")</f>
        <v>3696.0985626283368</v>
      </c>
      <c r="J89" s="15">
        <v>499</v>
      </c>
      <c r="K89" s="32">
        <f t="shared" si="44"/>
        <v>2.4640657084188913E-2</v>
      </c>
      <c r="L89" s="18">
        <f>IF(ISNUMBER(J89), $B91 * K89, "")</f>
        <v>7392.1971252566736</v>
      </c>
      <c r="M89" s="31">
        <v>497</v>
      </c>
      <c r="N89" s="32">
        <f t="shared" si="45"/>
        <v>2.0533880903490759E-2</v>
      </c>
      <c r="O89" s="18">
        <f>IF(ISNUMBER(M89), $B91 * N89, "")</f>
        <v>6160.1642710472279</v>
      </c>
      <c r="Q89" s="297"/>
      <c r="R89" s="298"/>
      <c r="S89" s="299"/>
    </row>
    <row r="90" spans="1:19" ht="17.25" thickBot="1">
      <c r="A90" s="23" t="s">
        <v>112</v>
      </c>
      <c r="B90" s="24">
        <v>275</v>
      </c>
      <c r="C90" s="25">
        <v>1.10294118E-2</v>
      </c>
      <c r="D90" s="24">
        <v>278</v>
      </c>
      <c r="E90" s="25">
        <f t="shared" si="42"/>
        <v>1.090909090909091E-2</v>
      </c>
      <c r="F90" s="100">
        <f>IF(ISNUMBER(D90), $B91 * E90, "")</f>
        <v>3272.727272727273</v>
      </c>
      <c r="G90" s="98">
        <v>274</v>
      </c>
      <c r="H90" s="25">
        <f t="shared" si="43"/>
        <v>-3.6363636363636364E-3</v>
      </c>
      <c r="I90" s="99">
        <f>IF(ISNUMBER(G90), $B91 * H90, "")</f>
        <v>-1090.909090909091</v>
      </c>
      <c r="J90" s="24">
        <v>278</v>
      </c>
      <c r="K90" s="25">
        <f t="shared" si="44"/>
        <v>1.090909090909091E-2</v>
      </c>
      <c r="L90" s="100">
        <f>IF(ISNUMBER(J90), $B91 * K90, "")</f>
        <v>3272.727272727273</v>
      </c>
      <c r="M90" s="98">
        <v>276</v>
      </c>
      <c r="N90" s="25">
        <f t="shared" si="45"/>
        <v>3.6363636363636364E-3</v>
      </c>
      <c r="O90" s="100">
        <f>IF(ISNUMBER(M90), $B91 * N90, "")</f>
        <v>1090.909090909091</v>
      </c>
      <c r="Q90" s="300"/>
      <c r="R90" s="301"/>
      <c r="S90" s="302"/>
    </row>
    <row r="91" spans="1:19" ht="17.25" thickBot="1">
      <c r="A91" s="26" t="s">
        <v>301</v>
      </c>
      <c r="B91" s="306">
        <f>$B$37</f>
        <v>300000</v>
      </c>
      <c r="C91" s="307"/>
      <c r="D91" s="26" t="s">
        <v>302</v>
      </c>
      <c r="E91" s="27">
        <f>IF(COUNT(E71:E90), SUM(E71:E90) / COUNT(E71:E90), 0)</f>
        <v>3.0747737594160929E-2</v>
      </c>
      <c r="F91" s="28">
        <f>SUM(F71:F90)</f>
        <v>184486.42556496555</v>
      </c>
      <c r="G91" s="26" t="s">
        <v>302</v>
      </c>
      <c r="H91" s="27">
        <f>IF(COUNT(H71:H90), SUM(H71:H90) / COUNT(H71:H90), 0)</f>
        <v>1.9161681861338504E-2</v>
      </c>
      <c r="I91" s="28">
        <f>SUM(I71:I90)</f>
        <v>114970.09116803102</v>
      </c>
      <c r="J91" s="26" t="s">
        <v>302</v>
      </c>
      <c r="K91" s="27">
        <f>IF(COUNT(K71:K90), SUM(K71:K90) / COUNT(K71:K90), 0)</f>
        <v>3.2495138262519693E-2</v>
      </c>
      <c r="L91" s="28">
        <f>SUM(L71:L90)</f>
        <v>194970.82957511808</v>
      </c>
      <c r="M91" s="26" t="s">
        <v>302</v>
      </c>
      <c r="N91" s="27">
        <f>IF(COUNT(N71:N90), SUM(N71:N90) / COUNT(N71:N90), 0)</f>
        <v>2.4573227756866368E-2</v>
      </c>
      <c r="O91" s="28">
        <f>SUM(O71:O90)</f>
        <v>147439.36654119819</v>
      </c>
      <c r="Q91" s="303"/>
      <c r="R91" s="304"/>
      <c r="S91" s="305"/>
    </row>
    <row r="93" spans="1:19" ht="17.25" thickBot="1"/>
    <row r="94" spans="1:19" ht="17.25" thickBot="1">
      <c r="A94" s="249" t="s">
        <v>46</v>
      </c>
      <c r="B94" s="250"/>
      <c r="C94" s="250"/>
      <c r="D94" s="250"/>
      <c r="E94" s="250"/>
      <c r="F94" s="250"/>
      <c r="G94" s="250"/>
      <c r="H94" s="250"/>
      <c r="I94" s="250"/>
      <c r="J94" s="250"/>
      <c r="K94" s="250"/>
      <c r="L94" s="250"/>
      <c r="M94" s="250"/>
      <c r="N94" s="250"/>
      <c r="O94" s="251"/>
      <c r="Q94" s="270"/>
      <c r="R94" s="270"/>
      <c r="S94" s="270"/>
    </row>
    <row r="95" spans="1:19" ht="17.25" thickBot="1">
      <c r="A95" s="107" t="s">
        <v>298</v>
      </c>
      <c r="B95" s="249" t="s">
        <v>49</v>
      </c>
      <c r="C95" s="251"/>
      <c r="D95" s="249" t="s">
        <v>58</v>
      </c>
      <c r="E95" s="250"/>
      <c r="F95" s="251"/>
      <c r="G95" s="276">
        <f>_xlfn.IFNA(VLOOKUP(B95, 현재가테이블!$B$2:$D$200, 2, FALSE), "-")</f>
        <v>60874000</v>
      </c>
      <c r="H95" s="277"/>
      <c r="I95" s="278"/>
      <c r="J95" s="249" t="s">
        <v>59</v>
      </c>
      <c r="K95" s="250"/>
      <c r="L95" s="251"/>
      <c r="M95" s="279">
        <f>_xlfn.IFNA(VLOOKUP(B95, 현재가테이블!$B$2:$D$200, 3, FALSE), "-")</f>
        <v>-1.4936000099999999E-2</v>
      </c>
      <c r="N95" s="280"/>
      <c r="O95" s="281"/>
      <c r="Q95" s="270"/>
      <c r="R95" s="270"/>
      <c r="S95" s="270"/>
    </row>
    <row r="96" spans="1:19" ht="17.25" thickBot="1">
      <c r="A96" s="293" t="s">
        <v>55</v>
      </c>
      <c r="B96" s="295" t="str">
        <f>TEXT($G$1, "[$-ko-KR]yyyy-mm-dd(ddd) ") &amp; "오전 00:00"</f>
        <v>2021-05-01(토) 오전 00:00</v>
      </c>
      <c r="C96" s="296"/>
      <c r="D96" s="272" t="str">
        <f>TEXT($G$1, "[$-ko-KR]yyyy-mm-dd(ddd) ") &amp; "오후 14:00"</f>
        <v>2021-05-01(토) 오후 14:00</v>
      </c>
      <c r="E96" s="273"/>
      <c r="F96" s="274"/>
      <c r="G96" s="272" t="str">
        <f>TEXT($G$1, "[$-ko-KR]yyyy-mm-dd(ddd) ") &amp; "오후 19:00"</f>
        <v>2021-05-01(토) 오후 19:00</v>
      </c>
      <c r="H96" s="273"/>
      <c r="I96" s="274"/>
      <c r="J96" s="272" t="str">
        <f>TEXT($G$1, "[$-ko-KR]yyyy-mm-dd(ddd) ") &amp; "오후 21:00"</f>
        <v>2021-05-01(토) 오후 21:00</v>
      </c>
      <c r="K96" s="273"/>
      <c r="L96" s="274"/>
      <c r="M96" s="272" t="str">
        <f>TEXT($G$1+1, "[$-ko-KR]yyyy-mm-dd(ddd) ") &amp; "오전 00:00"</f>
        <v>2021-05-02(일) 오전 00:00</v>
      </c>
      <c r="N96" s="273"/>
      <c r="O96" s="274"/>
      <c r="Q96" s="270"/>
      <c r="R96" s="270"/>
      <c r="S96" s="270"/>
    </row>
    <row r="97" spans="1:19" ht="17.25" thickBot="1">
      <c r="A97" s="294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75"/>
      <c r="R97" s="275"/>
      <c r="S97" s="275"/>
    </row>
    <row r="98" spans="1:19" ht="17.25" thickBot="1">
      <c r="A98" s="12" t="s">
        <v>92</v>
      </c>
      <c r="B98" s="13">
        <v>1845</v>
      </c>
      <c r="C98" s="14">
        <v>0.1114457831</v>
      </c>
      <c r="D98" s="13">
        <v>1885</v>
      </c>
      <c r="E98" s="14">
        <f>IF(ISNUMBER(D98), (D98 - $B98) / $B98, "")</f>
        <v>2.1680216802168022E-2</v>
      </c>
      <c r="F98" s="16">
        <f>IF(ISNUMBER(D98), $B118 * E98, "")</f>
        <v>6504.0650406504064</v>
      </c>
      <c r="G98" s="29">
        <v>1850</v>
      </c>
      <c r="H98" s="14">
        <f>IF(ISNUMBER(G98), (G98 - $B98) / $B98, "")</f>
        <v>2.7100271002710027E-3</v>
      </c>
      <c r="I98" s="96">
        <f>IF(ISNUMBER(G98), $B118 * H98, "")</f>
        <v>813.00813008130081</v>
      </c>
      <c r="J98" s="13">
        <v>1885</v>
      </c>
      <c r="K98" s="14">
        <f>IF(ISNUMBER(J98), (J98 - $B98) / $B98, "")</f>
        <v>2.1680216802168022E-2</v>
      </c>
      <c r="L98" s="16">
        <f>IF(ISNUMBER(J98), $B118 * K98, "")</f>
        <v>6504.0650406504064</v>
      </c>
      <c r="M98" s="29">
        <v>1855</v>
      </c>
      <c r="N98" s="14">
        <f>IF(ISNUMBER(M98), (M98 - $B98) / $B98, "")</f>
        <v>5.4200542005420054E-3</v>
      </c>
      <c r="O98" s="16">
        <f>IF(ISNUMBER(M98), $B118 * N98, "")</f>
        <v>1626.0162601626016</v>
      </c>
      <c r="Q98" s="270"/>
      <c r="R98" s="270"/>
      <c r="S98" s="270"/>
    </row>
    <row r="99" spans="1:19" ht="17.25" thickBot="1">
      <c r="A99" s="17" t="s">
        <v>116</v>
      </c>
      <c r="B99" s="15">
        <v>741</v>
      </c>
      <c r="C99" s="32">
        <v>0.1010401189</v>
      </c>
      <c r="D99" s="15">
        <v>731</v>
      </c>
      <c r="E99" s="32">
        <f t="shared" ref="E99:E102" si="46">IF(ISNUMBER(D99), (D99 - $B99) / $B99, "")</f>
        <v>-1.3495276653171391E-2</v>
      </c>
      <c r="F99" s="18">
        <f>IF(ISNUMBER(D99), $B118 * E99, "")</f>
        <v>-4048.5829959514172</v>
      </c>
      <c r="G99" s="31">
        <v>717</v>
      </c>
      <c r="H99" s="32">
        <f t="shared" ref="H99:H102" si="47">IF(ISNUMBER(G99), (G99 - $B99) / $B99, "")</f>
        <v>-3.2388663967611336E-2</v>
      </c>
      <c r="I99" s="97">
        <f>IF(ISNUMBER(G99), $B118 * H99, "")</f>
        <v>-9716.5991902834012</v>
      </c>
      <c r="J99" s="15">
        <v>728</v>
      </c>
      <c r="K99" s="32">
        <f t="shared" ref="K99:K102" si="48">IF(ISNUMBER(J99), (J99 - $B99) / $B99, "")</f>
        <v>-1.7543859649122806E-2</v>
      </c>
      <c r="L99" s="18">
        <f>IF(ISNUMBER(J99), $B118 * K99, "")</f>
        <v>-5263.1578947368416</v>
      </c>
      <c r="M99" s="31">
        <v>715</v>
      </c>
      <c r="N99" s="32">
        <f t="shared" ref="N99:N102" si="49">IF(ISNUMBER(M99), (M99 - $B99) / $B99, "")</f>
        <v>-3.5087719298245612E-2</v>
      </c>
      <c r="O99" s="18">
        <f>IF(ISNUMBER(M99), $B118 * N99, "")</f>
        <v>-10526.315789473683</v>
      </c>
      <c r="Q99" s="270"/>
      <c r="R99" s="270"/>
      <c r="S99" s="270"/>
    </row>
    <row r="100" spans="1:19" ht="17.25" thickBot="1">
      <c r="A100" s="17" t="s">
        <v>110</v>
      </c>
      <c r="B100" s="15">
        <v>3090</v>
      </c>
      <c r="C100" s="32">
        <v>9.7690941399999995E-2</v>
      </c>
      <c r="D100" s="15">
        <v>3100</v>
      </c>
      <c r="E100" s="32">
        <f t="shared" si="46"/>
        <v>3.2362459546925568E-3</v>
      </c>
      <c r="F100" s="18">
        <f>IF(ISNUMBER(D100), $B118 * E100, "")</f>
        <v>970.87378640776706</v>
      </c>
      <c r="G100" s="31">
        <v>3135</v>
      </c>
      <c r="H100" s="32">
        <f t="shared" si="47"/>
        <v>1.4563106796116505E-2</v>
      </c>
      <c r="I100" s="97">
        <f>IF(ISNUMBER(G100), $B118 * H100, "")</f>
        <v>4368.9320388349515</v>
      </c>
      <c r="J100" s="15">
        <v>3190</v>
      </c>
      <c r="K100" s="32">
        <f t="shared" si="48"/>
        <v>3.2362459546925564E-2</v>
      </c>
      <c r="L100" s="18">
        <f>IF(ISNUMBER(J100), $B118 * K100, "")</f>
        <v>9708.7378640776697</v>
      </c>
      <c r="M100" s="31">
        <v>3140</v>
      </c>
      <c r="N100" s="32">
        <f t="shared" si="49"/>
        <v>1.6181229773462782E-2</v>
      </c>
      <c r="O100" s="18">
        <f>IF(ISNUMBER(M100), $B118 * N100, "")</f>
        <v>4854.3689320388348</v>
      </c>
      <c r="Q100" s="275"/>
      <c r="R100" s="275"/>
      <c r="S100" s="275"/>
    </row>
    <row r="101" spans="1:19" ht="17.25" thickBot="1">
      <c r="A101" s="17" t="s">
        <v>78</v>
      </c>
      <c r="B101" s="15">
        <v>1134500</v>
      </c>
      <c r="C101" s="32">
        <v>8.3572110800000002E-2</v>
      </c>
      <c r="D101" s="15">
        <v>1200500</v>
      </c>
      <c r="E101" s="32">
        <f t="shared" si="46"/>
        <v>5.8175407668576463E-2</v>
      </c>
      <c r="F101" s="18">
        <f>IF(ISNUMBER(D101), $B118 * E101, "")</f>
        <v>17452.622300572941</v>
      </c>
      <c r="G101" s="31">
        <v>1185000</v>
      </c>
      <c r="H101" s="32">
        <f t="shared" si="47"/>
        <v>4.4513001322168358E-2</v>
      </c>
      <c r="I101" s="97">
        <f>IF(ISNUMBER(G101), $B118 * H101, "")</f>
        <v>13353.900396650508</v>
      </c>
      <c r="J101" s="15">
        <v>1197000</v>
      </c>
      <c r="K101" s="32">
        <f t="shared" si="48"/>
        <v>5.509034817100044E-2</v>
      </c>
      <c r="L101" s="18">
        <f>IF(ISNUMBER(J101), $B118 * K101, "")</f>
        <v>16527.104451300132</v>
      </c>
      <c r="M101" s="31">
        <v>1179500</v>
      </c>
      <c r="N101" s="32">
        <f t="shared" si="49"/>
        <v>3.9665050683120318E-2</v>
      </c>
      <c r="O101" s="18">
        <f>IF(ISNUMBER(M101), $B118 * N101, "")</f>
        <v>11899.515204936095</v>
      </c>
      <c r="Q101" s="275"/>
      <c r="R101" s="275"/>
      <c r="S101" s="275"/>
    </row>
    <row r="102" spans="1:19" ht="17.25" thickBot="1">
      <c r="A102" s="19" t="s">
        <v>118</v>
      </c>
      <c r="B102" s="20">
        <v>6575</v>
      </c>
      <c r="C102" s="21">
        <v>7.7868852500000002E-2</v>
      </c>
      <c r="D102" s="20">
        <v>6930</v>
      </c>
      <c r="E102" s="21">
        <f t="shared" si="46"/>
        <v>5.3992395437262357E-2</v>
      </c>
      <c r="F102" s="22">
        <f>IF(ISNUMBER(D102), $B118 * E102, "")</f>
        <v>16197.718631178706</v>
      </c>
      <c r="G102" s="30">
        <v>6815</v>
      </c>
      <c r="H102" s="21">
        <f t="shared" si="47"/>
        <v>3.6501901140684412E-2</v>
      </c>
      <c r="I102" s="101">
        <f>IF(ISNUMBER(G102), $B118 * H102, "")</f>
        <v>10950.570342205323</v>
      </c>
      <c r="J102" s="20">
        <v>6920</v>
      </c>
      <c r="K102" s="21">
        <f t="shared" si="48"/>
        <v>5.2471482889733842E-2</v>
      </c>
      <c r="L102" s="22">
        <f>IF(ISNUMBER(J102), $B118 * K102, "")</f>
        <v>15741.444866920152</v>
      </c>
      <c r="M102" s="30">
        <v>6865</v>
      </c>
      <c r="N102" s="21">
        <f t="shared" si="49"/>
        <v>4.4106463878326993E-2</v>
      </c>
      <c r="O102" s="22">
        <f>IF(ISNUMBER(M102), $B118 * N102, "")</f>
        <v>13231.939163498098</v>
      </c>
      <c r="Q102" s="275"/>
      <c r="R102" s="275"/>
      <c r="S102" s="275"/>
    </row>
    <row r="103" spans="1:19" ht="17.25" thickBot="1">
      <c r="A103" s="17" t="s">
        <v>162</v>
      </c>
      <c r="B103" s="102">
        <v>2225</v>
      </c>
      <c r="C103" s="103">
        <v>7.7481840199999999E-2</v>
      </c>
      <c r="D103" s="102">
        <v>2230</v>
      </c>
      <c r="E103" s="103">
        <f>IF(ISNUMBER(D103), (D103 - $B103) / $B103, "")</f>
        <v>2.2471910112359553E-3</v>
      </c>
      <c r="F103" s="104">
        <f>IF(ISNUMBER(D103), $B118 * E103, "")</f>
        <v>674.15730337078662</v>
      </c>
      <c r="G103" s="105">
        <v>2225</v>
      </c>
      <c r="H103" s="103">
        <f>IF(ISNUMBER(G103), (G103 - $B103) / $B103, "")</f>
        <v>0</v>
      </c>
      <c r="I103" s="106">
        <f>IF(ISNUMBER(G103), $B118 * H103, "")</f>
        <v>0</v>
      </c>
      <c r="J103" s="102">
        <v>2225</v>
      </c>
      <c r="K103" s="103">
        <f>IF(ISNUMBER(J103), (J103 - $B103) / $B103, "")</f>
        <v>0</v>
      </c>
      <c r="L103" s="104">
        <f>IF(ISNUMBER(J103), $B118 * K103, "")</f>
        <v>0</v>
      </c>
      <c r="M103" s="105">
        <v>2220</v>
      </c>
      <c r="N103" s="103">
        <f>IF(ISNUMBER(M103), (M103 - $B103) / $B103, "")</f>
        <v>-2.2471910112359553E-3</v>
      </c>
      <c r="O103" s="104">
        <f>IF(ISNUMBER(M103), $B118 * N103, "")</f>
        <v>-674.15730337078662</v>
      </c>
      <c r="Q103" s="275"/>
      <c r="R103" s="275"/>
      <c r="S103" s="275"/>
    </row>
    <row r="104" spans="1:19" ht="17.25" thickBot="1">
      <c r="A104" s="17" t="s">
        <v>168</v>
      </c>
      <c r="B104" s="15">
        <v>205</v>
      </c>
      <c r="C104" s="32">
        <v>7.3298429299999995E-2</v>
      </c>
      <c r="D104" s="15">
        <v>206</v>
      </c>
      <c r="E104" s="32">
        <f t="shared" ref="E104:E107" si="50">IF(ISNUMBER(D104), (D104 - $B104) / $B104, "")</f>
        <v>4.8780487804878049E-3</v>
      </c>
      <c r="F104" s="18">
        <f>IF(ISNUMBER(D104), $B118 * E104, "")</f>
        <v>1463.4146341463415</v>
      </c>
      <c r="G104" s="31">
        <v>204</v>
      </c>
      <c r="H104" s="32">
        <f t="shared" ref="H104:H107" si="51">IF(ISNUMBER(G104), (G104 - $B104) / $B104, "")</f>
        <v>-4.8780487804878049E-3</v>
      </c>
      <c r="I104" s="97">
        <f>IF(ISNUMBER(G104), $B118 * H104, "")</f>
        <v>-1463.4146341463415</v>
      </c>
      <c r="J104" s="15">
        <v>206</v>
      </c>
      <c r="K104" s="32">
        <f t="shared" ref="K104:K107" si="52">IF(ISNUMBER(J104), (J104 - $B104) / $B104, "")</f>
        <v>4.8780487804878049E-3</v>
      </c>
      <c r="L104" s="18">
        <f>IF(ISNUMBER(J104), $B118 * K104, "")</f>
        <v>1463.4146341463415</v>
      </c>
      <c r="M104" s="31">
        <v>205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275"/>
      <c r="R104" s="275"/>
      <c r="S104" s="275"/>
    </row>
    <row r="105" spans="1:19" ht="17.25" thickBot="1">
      <c r="A105" s="17" t="s">
        <v>90</v>
      </c>
      <c r="B105" s="15">
        <v>360700</v>
      </c>
      <c r="C105" s="32">
        <v>7.3192502199999995E-2</v>
      </c>
      <c r="D105" s="15">
        <v>381350</v>
      </c>
      <c r="E105" s="32">
        <f t="shared" si="50"/>
        <v>5.724979207097311E-2</v>
      </c>
      <c r="F105" s="18">
        <f>IF(ISNUMBER(D105), $B118 * E105, "")</f>
        <v>17174.937621291934</v>
      </c>
      <c r="G105" s="31">
        <v>377650</v>
      </c>
      <c r="H105" s="32">
        <f t="shared" si="51"/>
        <v>4.6991960077626835E-2</v>
      </c>
      <c r="I105" s="97">
        <f>IF(ISNUMBER(G105), $B118 * H105, "")</f>
        <v>14097.58802328805</v>
      </c>
      <c r="J105" s="15">
        <v>383200</v>
      </c>
      <c r="K105" s="32">
        <f t="shared" si="52"/>
        <v>6.2378708067646241E-2</v>
      </c>
      <c r="L105" s="18">
        <f>IF(ISNUMBER(J105), $B118 * K105, "")</f>
        <v>18713.612420293874</v>
      </c>
      <c r="M105" s="31">
        <v>385150</v>
      </c>
      <c r="N105" s="32">
        <f t="shared" si="53"/>
        <v>6.7784862766842258E-2</v>
      </c>
      <c r="O105" s="18">
        <f>IF(ISNUMBER(M105), $B118 * N105, "")</f>
        <v>20335.458830052678</v>
      </c>
      <c r="Q105" s="275"/>
      <c r="R105" s="275"/>
      <c r="S105" s="275"/>
    </row>
    <row r="106" spans="1:19" ht="17.25" thickBot="1">
      <c r="A106" s="17" t="s">
        <v>86</v>
      </c>
      <c r="B106" s="15">
        <v>7490</v>
      </c>
      <c r="C106" s="32">
        <v>6.8473609099999999E-2</v>
      </c>
      <c r="D106" s="15">
        <v>7790</v>
      </c>
      <c r="E106" s="32">
        <f t="shared" si="50"/>
        <v>4.0053404539385849E-2</v>
      </c>
      <c r="F106" s="18">
        <f>IF(ISNUMBER(D106), $B118 * E106, "")</f>
        <v>12016.021361815754</v>
      </c>
      <c r="G106" s="31">
        <v>7625</v>
      </c>
      <c r="H106" s="32">
        <f t="shared" si="51"/>
        <v>1.8024032042723633E-2</v>
      </c>
      <c r="I106" s="97">
        <f>IF(ISNUMBER(G106), $B118 * H106, "")</f>
        <v>5407.2096128170897</v>
      </c>
      <c r="J106" s="15">
        <v>7720</v>
      </c>
      <c r="K106" s="32">
        <f t="shared" si="52"/>
        <v>3.0707610146862484E-2</v>
      </c>
      <c r="L106" s="18">
        <f>IF(ISNUMBER(J106), $B118 * K106, "")</f>
        <v>9212.2830440587459</v>
      </c>
      <c r="M106" s="31">
        <v>7620</v>
      </c>
      <c r="N106" s="32">
        <f t="shared" si="53"/>
        <v>1.7356475300400534E-2</v>
      </c>
      <c r="O106" s="18">
        <f>IF(ISNUMBER(M106), $B118 * N106, "")</f>
        <v>5206.9425901201603</v>
      </c>
      <c r="Q106" s="33"/>
      <c r="R106" s="33"/>
    </row>
    <row r="107" spans="1:19" ht="17.25" thickBot="1">
      <c r="A107" s="23" t="s">
        <v>51</v>
      </c>
      <c r="B107" s="24">
        <v>626</v>
      </c>
      <c r="C107" s="25">
        <v>6.8259385699999994E-2</v>
      </c>
      <c r="D107" s="24">
        <v>627</v>
      </c>
      <c r="E107" s="25">
        <f t="shared" si="50"/>
        <v>1.5974440894568689E-3</v>
      </c>
      <c r="F107" s="100">
        <f>IF(ISNUMBER(D107), $B118 * E107, "")</f>
        <v>479.23322683706067</v>
      </c>
      <c r="G107" s="98">
        <v>619</v>
      </c>
      <c r="H107" s="25">
        <f t="shared" si="51"/>
        <v>-1.1182108626198083E-2</v>
      </c>
      <c r="I107" s="99">
        <f>IF(ISNUMBER(G107), $B118 * H107, "")</f>
        <v>-3354.6325878594248</v>
      </c>
      <c r="J107" s="24">
        <v>626</v>
      </c>
      <c r="K107" s="25">
        <f t="shared" si="52"/>
        <v>0</v>
      </c>
      <c r="L107" s="100">
        <f>IF(ISNUMBER(J107), $B118 * K107, "")</f>
        <v>0</v>
      </c>
      <c r="M107" s="98">
        <v>620</v>
      </c>
      <c r="N107" s="25">
        <f t="shared" si="53"/>
        <v>-9.5846645367412137E-3</v>
      </c>
      <c r="O107" s="100">
        <f>IF(ISNUMBER(M107), $B118 * N107, "")</f>
        <v>-2875.3993610223642</v>
      </c>
      <c r="Q107" s="284"/>
      <c r="R107" s="285"/>
      <c r="S107" s="286"/>
    </row>
    <row r="108" spans="1:19">
      <c r="A108" s="12" t="s">
        <v>136</v>
      </c>
      <c r="B108" s="13">
        <v>244</v>
      </c>
      <c r="C108" s="14">
        <v>6.5502183399999997E-2</v>
      </c>
      <c r="D108" s="13">
        <v>247</v>
      </c>
      <c r="E108" s="14">
        <f>IF(ISNUMBER(D108), (D108 - $B108) / $B108, "")</f>
        <v>1.2295081967213115E-2</v>
      </c>
      <c r="F108" s="16">
        <f>IF(ISNUMBER(D108), $B118 * E108, "")</f>
        <v>3688.5245901639341</v>
      </c>
      <c r="G108" s="29">
        <v>245</v>
      </c>
      <c r="H108" s="14">
        <f>IF(ISNUMBER(G108), (G108 - $B108) / $B108, "")</f>
        <v>4.0983606557377051E-3</v>
      </c>
      <c r="I108" s="96">
        <f>IF(ISNUMBER(G108), $B118 * H108, "")</f>
        <v>1229.5081967213116</v>
      </c>
      <c r="J108" s="13">
        <v>254</v>
      </c>
      <c r="K108" s="14">
        <f>IF(ISNUMBER(J108), (J108 - $B108) / $B108, "")</f>
        <v>4.0983606557377046E-2</v>
      </c>
      <c r="L108" s="16">
        <f>IF(ISNUMBER(J108), $B118 * K108, "")</f>
        <v>12295.081967213115</v>
      </c>
      <c r="M108" s="29">
        <v>250</v>
      </c>
      <c r="N108" s="14">
        <f>IF(ISNUMBER(M108), (M108 - $B108) / $B108, "")</f>
        <v>2.4590163934426229E-2</v>
      </c>
      <c r="O108" s="16">
        <f>IF(ISNUMBER(M108), $B118 * N108, "")</f>
        <v>7377.0491803278683</v>
      </c>
      <c r="Q108" s="287"/>
      <c r="R108" s="288"/>
      <c r="S108" s="289"/>
    </row>
    <row r="109" spans="1:19" ht="17.25" thickBot="1">
      <c r="A109" s="17" t="s">
        <v>49</v>
      </c>
      <c r="B109" s="15">
        <v>67791000</v>
      </c>
      <c r="C109" s="32">
        <v>6.2321747599999998E-2</v>
      </c>
      <c r="D109" s="15">
        <v>68921000</v>
      </c>
      <c r="E109" s="32">
        <f t="shared" ref="E109:E112" si="54">IF(ISNUMBER(D109), (D109 - $B109) / $B109, "")</f>
        <v>1.6668879349766193E-2</v>
      </c>
      <c r="F109" s="18">
        <f>IF(ISNUMBER(D109), $B118 * E109, "")</f>
        <v>5000.6638049298581</v>
      </c>
      <c r="G109" s="31">
        <v>68705000</v>
      </c>
      <c r="H109" s="32">
        <f t="shared" ref="H109:H112" si="55">IF(ISNUMBER(G109), (G109 - $B109) / $B109, "")</f>
        <v>1.3482615686448053E-2</v>
      </c>
      <c r="I109" s="97">
        <f>IF(ISNUMBER(G109), $B118 * H109, "")</f>
        <v>4044.7847059344158</v>
      </c>
      <c r="J109" s="15">
        <v>69055000</v>
      </c>
      <c r="K109" s="32">
        <f t="shared" ref="K109:K112" si="56">IF(ISNUMBER(J109), (J109 - $B109) / $B109, "")</f>
        <v>1.8645542918676521E-2</v>
      </c>
      <c r="L109" s="18">
        <f>IF(ISNUMBER(J109), $B118 * K109, "")</f>
        <v>5593.6628756029568</v>
      </c>
      <c r="M109" s="31">
        <v>68701000</v>
      </c>
      <c r="N109" s="32">
        <f t="shared" ref="N109:N112" si="57">IF(ISNUMBER(M109), (M109 - $B109) / $B109, "")</f>
        <v>1.3423610803794015E-2</v>
      </c>
      <c r="O109" s="18">
        <f>IF(ISNUMBER(M109), $B118 * N109, "")</f>
        <v>4027.0832411382044</v>
      </c>
      <c r="Q109" s="290"/>
      <c r="R109" s="291"/>
      <c r="S109" s="292"/>
    </row>
    <row r="110" spans="1:19" ht="17.25" thickBot="1">
      <c r="A110" s="17" t="s">
        <v>63</v>
      </c>
      <c r="B110" s="15">
        <v>112900</v>
      </c>
      <c r="C110" s="32">
        <v>6.0093896700000003E-2</v>
      </c>
      <c r="D110" s="15">
        <v>116650</v>
      </c>
      <c r="E110" s="32">
        <f t="shared" si="54"/>
        <v>3.3215234720992026E-2</v>
      </c>
      <c r="F110" s="18">
        <f>IF(ISNUMBER(D110), $B118 * E110, "")</f>
        <v>9964.5704162976072</v>
      </c>
      <c r="G110" s="31">
        <v>114050</v>
      </c>
      <c r="H110" s="32">
        <f t="shared" si="55"/>
        <v>1.0186005314437556E-2</v>
      </c>
      <c r="I110" s="97">
        <f>IF(ISNUMBER(G110), $B118 * H110, "")</f>
        <v>3055.8015943312666</v>
      </c>
      <c r="J110" s="15">
        <v>116350</v>
      </c>
      <c r="K110" s="32">
        <f t="shared" si="56"/>
        <v>3.0558015943312665E-2</v>
      </c>
      <c r="L110" s="18">
        <f>IF(ISNUMBER(J110), $B118 * K110, "")</f>
        <v>9167.404782993799</v>
      </c>
      <c r="M110" s="31">
        <v>115100</v>
      </c>
      <c r="N110" s="32">
        <f t="shared" si="57"/>
        <v>1.9486271036315322E-2</v>
      </c>
      <c r="O110" s="18">
        <f>IF(ISNUMBER(M110), $B118 * N110, "")</f>
        <v>5845.8813108945969</v>
      </c>
      <c r="Q110" s="275"/>
      <c r="R110" s="275"/>
      <c r="S110" s="275"/>
    </row>
    <row r="111" spans="1:19" ht="17.25" thickBot="1">
      <c r="A111" s="17" t="s">
        <v>210</v>
      </c>
      <c r="B111" s="15">
        <v>217</v>
      </c>
      <c r="C111" s="32">
        <v>5.85365854E-2</v>
      </c>
      <c r="D111" s="15">
        <v>217</v>
      </c>
      <c r="E111" s="32">
        <f t="shared" si="54"/>
        <v>0</v>
      </c>
      <c r="F111" s="18">
        <f>IF(ISNUMBER(D111), $B118 * E111, "")</f>
        <v>0</v>
      </c>
      <c r="G111" s="31">
        <v>213</v>
      </c>
      <c r="H111" s="32">
        <f t="shared" si="55"/>
        <v>-1.8433179723502304E-2</v>
      </c>
      <c r="I111" s="97">
        <f>IF(ISNUMBER(G111), $B118 * H111, "")</f>
        <v>-5529.9539170506914</v>
      </c>
      <c r="J111" s="15">
        <v>215</v>
      </c>
      <c r="K111" s="32">
        <f t="shared" si="56"/>
        <v>-9.2165898617511521E-3</v>
      </c>
      <c r="L111" s="18">
        <f>IF(ISNUMBER(J111), $B118 * K111, "")</f>
        <v>-2764.9769585253457</v>
      </c>
      <c r="M111" s="31">
        <v>214</v>
      </c>
      <c r="N111" s="32">
        <f t="shared" si="57"/>
        <v>-1.3824884792626729E-2</v>
      </c>
      <c r="O111" s="18">
        <f>IF(ISNUMBER(M111), $B118 * N111, "")</f>
        <v>-4147.4654377880188</v>
      </c>
      <c r="Q111" s="270"/>
      <c r="R111" s="270"/>
      <c r="S111" s="270"/>
    </row>
    <row r="112" spans="1:19" ht="17.25" thickBot="1">
      <c r="A112" s="19" t="s">
        <v>130</v>
      </c>
      <c r="B112" s="20">
        <v>320500</v>
      </c>
      <c r="C112" s="21">
        <v>5.3929628399999999E-2</v>
      </c>
      <c r="D112" s="20">
        <v>323950</v>
      </c>
      <c r="E112" s="21">
        <f t="shared" si="54"/>
        <v>1.0764430577223089E-2</v>
      </c>
      <c r="F112" s="22">
        <f>IF(ISNUMBER(D112), $B118 * E112, "")</f>
        <v>3229.3291731669265</v>
      </c>
      <c r="G112" s="30">
        <v>321500</v>
      </c>
      <c r="H112" s="21">
        <f t="shared" si="55"/>
        <v>3.1201248049921998E-3</v>
      </c>
      <c r="I112" s="101">
        <f>IF(ISNUMBER(G112), $B118 * H112, "")</f>
        <v>936.03744149765998</v>
      </c>
      <c r="J112" s="20">
        <v>325200</v>
      </c>
      <c r="K112" s="21">
        <f t="shared" si="56"/>
        <v>1.4664586583463339E-2</v>
      </c>
      <c r="L112" s="22">
        <f>IF(ISNUMBER(J112), $B118 * K112, "")</f>
        <v>4399.3759750390018</v>
      </c>
      <c r="M112" s="30">
        <v>321650</v>
      </c>
      <c r="N112" s="21">
        <f t="shared" si="57"/>
        <v>3.5881435257410295E-3</v>
      </c>
      <c r="O112" s="22">
        <f>IF(ISNUMBER(M112), $B118 * N112, "")</f>
        <v>1076.4430577223088</v>
      </c>
      <c r="Q112" s="270"/>
      <c r="R112" s="270"/>
      <c r="S112" s="270"/>
    </row>
    <row r="113" spans="1:19" ht="17.25" thickBot="1">
      <c r="A113" s="17" t="s">
        <v>192</v>
      </c>
      <c r="B113" s="102">
        <v>1175</v>
      </c>
      <c r="C113" s="103">
        <v>5.38116592E-2</v>
      </c>
      <c r="D113" s="102">
        <v>1180</v>
      </c>
      <c r="E113" s="103">
        <f>IF(ISNUMBER(D113), (D113 - $B113) / $B113, "")</f>
        <v>4.2553191489361703E-3</v>
      </c>
      <c r="F113" s="104">
        <f>IF(ISNUMBER(D113), $B118 * E113, "")</f>
        <v>1276.5957446808511</v>
      </c>
      <c r="G113" s="105">
        <v>1165</v>
      </c>
      <c r="H113" s="103">
        <f>IF(ISNUMBER(G113), (G113 - $B113) / $B113, "")</f>
        <v>-8.5106382978723406E-3</v>
      </c>
      <c r="I113" s="106">
        <f>IF(ISNUMBER(G113), $B118 * H113, "")</f>
        <v>-2553.1914893617022</v>
      </c>
      <c r="J113" s="102">
        <v>1180</v>
      </c>
      <c r="K113" s="103">
        <f>IF(ISNUMBER(J113), (J113 - $B113) / $B113, "")</f>
        <v>4.2553191489361703E-3</v>
      </c>
      <c r="L113" s="104">
        <f>IF(ISNUMBER(J113), $B118 * K113, "")</f>
        <v>1276.5957446808511</v>
      </c>
      <c r="M113" s="105">
        <v>1170</v>
      </c>
      <c r="N113" s="103">
        <f>IF(ISNUMBER(M113), (M113 - $B113) / $B113, "")</f>
        <v>-4.2553191489361703E-3</v>
      </c>
      <c r="O113" s="104">
        <f>IF(ISNUMBER(M113), $B118 * N113, "")</f>
        <v>-1276.5957446808511</v>
      </c>
      <c r="Q113" s="275"/>
      <c r="R113" s="275"/>
      <c r="S113" s="275"/>
    </row>
    <row r="114" spans="1:19" ht="17.25" thickBot="1">
      <c r="A114" s="17" t="s">
        <v>196</v>
      </c>
      <c r="B114" s="15">
        <v>22.1</v>
      </c>
      <c r="C114" s="32">
        <v>5.23809524E-2</v>
      </c>
      <c r="D114" s="15">
        <v>22</v>
      </c>
      <c r="E114" s="32">
        <f t="shared" ref="E114:E117" si="58">IF(ISNUMBER(D114), (D114 - $B114) / $B114, "")</f>
        <v>-4.524886877828118E-3</v>
      </c>
      <c r="F114" s="18">
        <f>IF(ISNUMBER(D114), $B118 * E114, "")</f>
        <v>-1357.4660633484355</v>
      </c>
      <c r="G114" s="31">
        <v>22</v>
      </c>
      <c r="H114" s="32">
        <f t="shared" ref="H114:H117" si="59">IF(ISNUMBER(G114), (G114 - $B114) / $B114, "")</f>
        <v>-4.524886877828118E-3</v>
      </c>
      <c r="I114" s="97">
        <f>IF(ISNUMBER(G114), $B118 * H114, "")</f>
        <v>-1357.4660633484355</v>
      </c>
      <c r="J114" s="15">
        <v>21.9</v>
      </c>
      <c r="K114" s="32">
        <f t="shared" ref="K114:K117" si="60">IF(ISNUMBER(J114), (J114 - $B114) / $B114, "")</f>
        <v>-9.049773755656236E-3</v>
      </c>
      <c r="L114" s="18">
        <f>IF(ISNUMBER(J114), $B118 * K114, "")</f>
        <v>-2714.9321266968709</v>
      </c>
      <c r="M114" s="31">
        <v>21.9</v>
      </c>
      <c r="N114" s="32">
        <f t="shared" ref="N114:N117" si="61">IF(ISNUMBER(M114), (M114 - $B114) / $B114, "")</f>
        <v>-9.049773755656236E-3</v>
      </c>
      <c r="O114" s="18">
        <f>IF(ISNUMBER(M114), $B118 * N114, "")</f>
        <v>-2714.9321266968709</v>
      </c>
      <c r="Q114" s="275"/>
      <c r="R114" s="275"/>
      <c r="S114" s="275"/>
    </row>
    <row r="115" spans="1:19" ht="17.25" thickBot="1">
      <c r="A115" s="17" t="s">
        <v>104</v>
      </c>
      <c r="B115" s="15">
        <v>2110</v>
      </c>
      <c r="C115" s="32">
        <v>5.2369077299999997E-2</v>
      </c>
      <c r="D115" s="15">
        <v>2180</v>
      </c>
      <c r="E115" s="32">
        <f t="shared" si="58"/>
        <v>3.3175355450236969E-2</v>
      </c>
      <c r="F115" s="18">
        <f>IF(ISNUMBER(D115), $B118 * E115, "")</f>
        <v>9952.6066350710917</v>
      </c>
      <c r="G115" s="31">
        <v>2130</v>
      </c>
      <c r="H115" s="32">
        <f t="shared" si="59"/>
        <v>9.4786729857819912E-3</v>
      </c>
      <c r="I115" s="97">
        <f>IF(ISNUMBER(G115), $B118 * H115, "")</f>
        <v>2843.6018957345973</v>
      </c>
      <c r="J115" s="15">
        <v>2150</v>
      </c>
      <c r="K115" s="32">
        <f t="shared" si="60"/>
        <v>1.8957345971563982E-2</v>
      </c>
      <c r="L115" s="18">
        <f>IF(ISNUMBER(J115), $B118 * K115, "")</f>
        <v>5687.2037914691946</v>
      </c>
      <c r="M115" s="31">
        <v>2120</v>
      </c>
      <c r="N115" s="32">
        <f t="shared" si="61"/>
        <v>4.7393364928909956E-3</v>
      </c>
      <c r="O115" s="18">
        <f>IF(ISNUMBER(M115), $B118 * N115, "")</f>
        <v>1421.8009478672986</v>
      </c>
      <c r="Q115" s="275"/>
      <c r="R115" s="275"/>
      <c r="S115" s="275"/>
    </row>
    <row r="116" spans="1:19">
      <c r="A116" s="17" t="s">
        <v>98</v>
      </c>
      <c r="B116" s="15">
        <v>6580</v>
      </c>
      <c r="C116" s="32">
        <v>5.1958433300000002E-2</v>
      </c>
      <c r="D116" s="15">
        <v>6710</v>
      </c>
      <c r="E116" s="32">
        <f t="shared" si="58"/>
        <v>1.9756838905775075E-2</v>
      </c>
      <c r="F116" s="18">
        <f>IF(ISNUMBER(D116), $B118 * E116, "")</f>
        <v>5927.0516717325227</v>
      </c>
      <c r="G116" s="31">
        <v>6690</v>
      </c>
      <c r="H116" s="32">
        <f t="shared" si="59"/>
        <v>1.6717325227963525E-2</v>
      </c>
      <c r="I116" s="97">
        <f>IF(ISNUMBER(G116), $B118 * H116, "")</f>
        <v>5015.1975683890578</v>
      </c>
      <c r="J116" s="15">
        <v>6770</v>
      </c>
      <c r="K116" s="32">
        <f t="shared" si="60"/>
        <v>2.8875379939209727E-2</v>
      </c>
      <c r="L116" s="18">
        <f>IF(ISNUMBER(J116), $B118 * K116, "")</f>
        <v>8662.6139817629173</v>
      </c>
      <c r="M116" s="31">
        <v>6720</v>
      </c>
      <c r="N116" s="32">
        <f t="shared" si="61"/>
        <v>2.1276595744680851E-2</v>
      </c>
      <c r="O116" s="18">
        <f>IF(ISNUMBER(M116), $B118 * N116, "")</f>
        <v>6382.9787234042551</v>
      </c>
      <c r="Q116" s="297"/>
      <c r="R116" s="298"/>
      <c r="S116" s="299"/>
    </row>
    <row r="117" spans="1:19" ht="17.25" thickBot="1">
      <c r="A117" s="23" t="s">
        <v>76</v>
      </c>
      <c r="B117" s="24">
        <v>45550</v>
      </c>
      <c r="C117" s="25">
        <v>5.0507380099999999E-2</v>
      </c>
      <c r="D117" s="24">
        <v>45720</v>
      </c>
      <c r="E117" s="25">
        <f t="shared" si="58"/>
        <v>3.7321624588364435E-3</v>
      </c>
      <c r="F117" s="100">
        <f>IF(ISNUMBER(D117), $B118 * E117, "")</f>
        <v>1119.6487376509331</v>
      </c>
      <c r="G117" s="98">
        <v>45490</v>
      </c>
      <c r="H117" s="25">
        <f t="shared" si="59"/>
        <v>-1.3172338090010978E-3</v>
      </c>
      <c r="I117" s="99">
        <f>IF(ISNUMBER(G117), $B118 * H117, "")</f>
        <v>-395.17014270032934</v>
      </c>
      <c r="J117" s="24">
        <v>46500</v>
      </c>
      <c r="K117" s="25">
        <f t="shared" si="60"/>
        <v>2.0856201975850714E-2</v>
      </c>
      <c r="L117" s="100">
        <f>IF(ISNUMBER(J117), $B118 * K117, "")</f>
        <v>6256.8605927552144</v>
      </c>
      <c r="M117" s="98">
        <v>46510</v>
      </c>
      <c r="N117" s="25">
        <f t="shared" si="61"/>
        <v>2.1075740944017565E-2</v>
      </c>
      <c r="O117" s="100">
        <f>IF(ISNUMBER(M117), $B118 * N117, "")</f>
        <v>6322.7222832052694</v>
      </c>
      <c r="Q117" s="300"/>
      <c r="R117" s="301"/>
      <c r="S117" s="302"/>
    </row>
    <row r="118" spans="1:19" ht="17.25" thickBot="1">
      <c r="A118" s="26" t="s">
        <v>301</v>
      </c>
      <c r="B118" s="306">
        <f>$B$37</f>
        <v>300000</v>
      </c>
      <c r="C118" s="307"/>
      <c r="D118" s="26" t="s">
        <v>302</v>
      </c>
      <c r="E118" s="27">
        <f>IF(COUNT(E98:E117), SUM(E98:E117) / COUNT(E98:E117), 0)</f>
        <v>1.7947664270110929E-2</v>
      </c>
      <c r="F118" s="28">
        <f>SUM(F98:F117)</f>
        <v>107685.98562066558</v>
      </c>
      <c r="G118" s="26" t="s">
        <v>302</v>
      </c>
      <c r="H118" s="27">
        <f>IF(COUNT(H98:H117), SUM(H98:H117) / COUNT(H98:H117), 0)</f>
        <v>6.9576186536225324E-3</v>
      </c>
      <c r="I118" s="28">
        <f>SUM(I98:I117)</f>
        <v>41745.711921735201</v>
      </c>
      <c r="J118" s="26" t="s">
        <v>302</v>
      </c>
      <c r="K118" s="27">
        <f>IF(COUNT(K98:K117), SUM(K98:K117) / COUNT(K98:K117), 0)</f>
        <v>2.0077732508834219E-2</v>
      </c>
      <c r="L118" s="28">
        <f>SUM(L98:L117)</f>
        <v>120466.39505300528</v>
      </c>
      <c r="M118" s="26" t="s">
        <v>302</v>
      </c>
      <c r="N118" s="27">
        <f>IF(COUNT(N98:N117), SUM(N98:N117) / COUNT(N98:N117), 0)</f>
        <v>1.1232222327055948E-2</v>
      </c>
      <c r="O118" s="28">
        <f>SUM(O98:O117)</f>
        <v>67393.333962335702</v>
      </c>
      <c r="Q118" s="303"/>
      <c r="R118" s="304"/>
      <c r="S118" s="305"/>
    </row>
    <row r="120" spans="1:19" ht="17.25" thickBot="1"/>
    <row r="121" spans="1:19" ht="17.25" thickBot="1">
      <c r="A121" s="249" t="s">
        <v>288</v>
      </c>
      <c r="B121" s="250"/>
      <c r="C121" s="250"/>
      <c r="D121" s="250"/>
      <c r="E121" s="250"/>
      <c r="F121" s="250"/>
      <c r="G121" s="250"/>
      <c r="H121" s="250"/>
      <c r="I121" s="250"/>
      <c r="J121" s="250"/>
      <c r="K121" s="250"/>
      <c r="L121" s="250"/>
      <c r="M121" s="250"/>
      <c r="N121" s="250"/>
      <c r="O121" s="251"/>
      <c r="Q121" s="270"/>
      <c r="R121" s="270"/>
      <c r="S121" s="270"/>
    </row>
    <row r="122" spans="1:19" ht="17.25" thickBot="1">
      <c r="A122" s="107" t="s">
        <v>298</v>
      </c>
      <c r="B122" s="249" t="s">
        <v>49</v>
      </c>
      <c r="C122" s="251"/>
      <c r="D122" s="249" t="s">
        <v>58</v>
      </c>
      <c r="E122" s="250"/>
      <c r="F122" s="251"/>
      <c r="G122" s="276">
        <f>_xlfn.IFNA(VLOOKUP(B122, 현재가테이블!$B$2:$D$200, 2, FALSE), "-")</f>
        <v>60874000</v>
      </c>
      <c r="H122" s="277"/>
      <c r="I122" s="278"/>
      <c r="J122" s="249" t="s">
        <v>59</v>
      </c>
      <c r="K122" s="250"/>
      <c r="L122" s="251"/>
      <c r="M122" s="279">
        <f>_xlfn.IFNA(VLOOKUP(B122, 현재가테이블!$B$2:$D$200, 3, FALSE), "-")</f>
        <v>-1.4936000099999999E-2</v>
      </c>
      <c r="N122" s="280"/>
      <c r="O122" s="281"/>
      <c r="Q122" s="270"/>
      <c r="R122" s="270"/>
      <c r="S122" s="270"/>
    </row>
    <row r="123" spans="1:19" ht="17.25" thickBot="1">
      <c r="A123" s="293" t="s">
        <v>55</v>
      </c>
      <c r="B123" s="295" t="str">
        <f>TEXT($G$1, "[$-ko-KR]yyyy-mm-dd(ddd) ") &amp; "오전 00:00"</f>
        <v>2021-05-01(토) 오전 00:00</v>
      </c>
      <c r="C123" s="296"/>
      <c r="D123" s="272" t="str">
        <f>TEXT($G$1, "[$-ko-KR]yyyy-mm-dd(ddd) ") &amp; "오후 14:00"</f>
        <v>2021-05-01(토) 오후 14:00</v>
      </c>
      <c r="E123" s="273"/>
      <c r="F123" s="274"/>
      <c r="G123" s="272" t="str">
        <f>TEXT($G$1, "[$-ko-KR]yyyy-mm-dd(ddd) ") &amp; "오후 19:00"</f>
        <v>2021-05-01(토) 오후 19:00</v>
      </c>
      <c r="H123" s="273"/>
      <c r="I123" s="274"/>
      <c r="J123" s="272" t="str">
        <f>TEXT($G$1, "[$-ko-KR]yyyy-mm-dd(ddd) ") &amp; "오후 21:00"</f>
        <v>2021-05-01(토) 오후 21:00</v>
      </c>
      <c r="K123" s="273"/>
      <c r="L123" s="274"/>
      <c r="M123" s="272" t="str">
        <f>TEXT($G$1+1, "[$-ko-KR]yyyy-mm-dd(ddd) ") &amp; "오전 00:00"</f>
        <v>2021-05-02(일) 오전 00:00</v>
      </c>
      <c r="N123" s="273"/>
      <c r="O123" s="274"/>
      <c r="Q123" s="270"/>
      <c r="R123" s="270"/>
      <c r="S123" s="270"/>
    </row>
    <row r="124" spans="1:19" ht="17.25" thickBot="1">
      <c r="A124" s="294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75"/>
      <c r="R124" s="275"/>
      <c r="S124" s="275"/>
    </row>
    <row r="125" spans="1:19" ht="17.25" thickBot="1">
      <c r="A125" s="12" t="s">
        <v>196</v>
      </c>
      <c r="B125" s="13">
        <v>22.1</v>
      </c>
      <c r="C125" s="14">
        <v>5.23809524E-2</v>
      </c>
      <c r="D125" s="13">
        <v>22</v>
      </c>
      <c r="E125" s="14">
        <f>IF(ISNUMBER(D125), (D125 - $B125) / $B125, "")</f>
        <v>-4.524886877828118E-3</v>
      </c>
      <c r="F125" s="16">
        <f>IF(ISNUMBER(D125), $B145 * E125, "")</f>
        <v>-1357.4660633484355</v>
      </c>
      <c r="G125" s="29">
        <v>22</v>
      </c>
      <c r="H125" s="14">
        <f>IF(ISNUMBER(G125), (G125 - $B125) / $B125, "")</f>
        <v>-4.524886877828118E-3</v>
      </c>
      <c r="I125" s="96">
        <f>IF(ISNUMBER(G125), $B145 * H125, "")</f>
        <v>-1357.4660633484355</v>
      </c>
      <c r="J125" s="13">
        <v>21.9</v>
      </c>
      <c r="K125" s="14">
        <f>IF(ISNUMBER(J125), (J125 - $B125) / $B125, "")</f>
        <v>-9.049773755656236E-3</v>
      </c>
      <c r="L125" s="16">
        <f>IF(ISNUMBER(J125), $B145 * K125, "")</f>
        <v>-2714.9321266968709</v>
      </c>
      <c r="M125" s="29">
        <v>21.9</v>
      </c>
      <c r="N125" s="14">
        <f>IF(ISNUMBER(M125), (M125 - $B125) / $B125, "")</f>
        <v>-9.049773755656236E-3</v>
      </c>
      <c r="O125" s="16">
        <f>IF(ISNUMBER(M125), $B145 * N125, "")</f>
        <v>-2714.9321266968709</v>
      </c>
      <c r="Q125" s="270"/>
      <c r="R125" s="270"/>
      <c r="S125" s="270"/>
    </row>
    <row r="126" spans="1:19" ht="17.25" thickBot="1">
      <c r="A126" s="17" t="s">
        <v>65</v>
      </c>
      <c r="B126" s="15">
        <v>76</v>
      </c>
      <c r="C126" s="32">
        <v>4.8275862099999997E-2</v>
      </c>
      <c r="D126" s="15">
        <v>78.5</v>
      </c>
      <c r="E126" s="32">
        <f t="shared" ref="E126:E129" si="62">IF(ISNUMBER(D126), (D126 - $B126) / $B126, "")</f>
        <v>3.2894736842105261E-2</v>
      </c>
      <c r="F126" s="18">
        <f>IF(ISNUMBER(D126), $B145 * E126, "")</f>
        <v>9868.4210526315783</v>
      </c>
      <c r="G126" s="31">
        <v>77.7</v>
      </c>
      <c r="H126" s="32">
        <f t="shared" ref="H126:H129" si="63">IF(ISNUMBER(G126), (G126 - $B126) / $B126, "")</f>
        <v>2.2368421052631617E-2</v>
      </c>
      <c r="I126" s="97">
        <f>IF(ISNUMBER(G126), $B145 * H126, "")</f>
        <v>6710.5263157894851</v>
      </c>
      <c r="J126" s="15">
        <v>78.2</v>
      </c>
      <c r="K126" s="32">
        <f t="shared" ref="K126:K129" si="64">IF(ISNUMBER(J126), (J126 - $B126) / $B126, "")</f>
        <v>2.894736842105267E-2</v>
      </c>
      <c r="L126" s="18">
        <f>IF(ISNUMBER(J126), $B145 * K126, "")</f>
        <v>8684.210526315801</v>
      </c>
      <c r="M126" s="31">
        <v>77.5</v>
      </c>
      <c r="N126" s="32">
        <f t="shared" ref="N126:N129" si="65">IF(ISNUMBER(M126), (M126 - $B126) / $B126, "")</f>
        <v>1.9736842105263157E-2</v>
      </c>
      <c r="O126" s="18">
        <f>IF(ISNUMBER(M126), $B145 * N126, "")</f>
        <v>5921.0526315789466</v>
      </c>
      <c r="Q126" s="270"/>
      <c r="R126" s="270"/>
      <c r="S126" s="270"/>
    </row>
    <row r="127" spans="1:19" ht="17.25" thickBot="1">
      <c r="A127" s="17" t="s">
        <v>152</v>
      </c>
      <c r="B127" s="15">
        <v>46.3</v>
      </c>
      <c r="C127" s="32">
        <v>2.88888889E-2</v>
      </c>
      <c r="D127" s="15">
        <v>47.6</v>
      </c>
      <c r="E127" s="32">
        <f t="shared" si="62"/>
        <v>2.8077753779697717E-2</v>
      </c>
      <c r="F127" s="18">
        <f>IF(ISNUMBER(D127), $B145 * E127, "")</f>
        <v>8423.3261339093151</v>
      </c>
      <c r="G127" s="31">
        <v>46.8</v>
      </c>
      <c r="H127" s="32">
        <f t="shared" si="63"/>
        <v>1.0799136069114472E-2</v>
      </c>
      <c r="I127" s="97">
        <f>IF(ISNUMBER(G127), $B145 * H127, "")</f>
        <v>3239.7408207343415</v>
      </c>
      <c r="J127" s="15">
        <v>47.5</v>
      </c>
      <c r="K127" s="32">
        <f t="shared" si="64"/>
        <v>2.5917926565874792E-2</v>
      </c>
      <c r="L127" s="18">
        <f>IF(ISNUMBER(J127), $B145 * K127, "")</f>
        <v>7775.3779697624377</v>
      </c>
      <c r="M127" s="31">
        <v>46.9</v>
      </c>
      <c r="N127" s="32">
        <f t="shared" si="65"/>
        <v>1.2958963282937396E-2</v>
      </c>
      <c r="O127" s="18">
        <f>IF(ISNUMBER(M127), $B145 * N127, "")</f>
        <v>3887.6889848812189</v>
      </c>
      <c r="Q127" s="275"/>
      <c r="R127" s="275"/>
      <c r="S127" s="275"/>
    </row>
    <row r="128" spans="1:19" ht="17.25" thickBot="1">
      <c r="A128" s="17" t="s">
        <v>100</v>
      </c>
      <c r="B128" s="15">
        <v>8.44</v>
      </c>
      <c r="C128" s="32">
        <v>2.80146163E-2</v>
      </c>
      <c r="D128" s="15">
        <v>8.56</v>
      </c>
      <c r="E128" s="32">
        <f t="shared" si="62"/>
        <v>1.4218009478673105E-2</v>
      </c>
      <c r="F128" s="18">
        <f>IF(ISNUMBER(D128), $B145 * E128, "")</f>
        <v>4265.4028436019316</v>
      </c>
      <c r="G128" s="31">
        <v>8.56</v>
      </c>
      <c r="H128" s="32">
        <f t="shared" si="63"/>
        <v>1.4218009478673105E-2</v>
      </c>
      <c r="I128" s="97">
        <f>IF(ISNUMBER(G128), $B145 * H128, "")</f>
        <v>4265.4028436019316</v>
      </c>
      <c r="J128" s="15">
        <v>8.6</v>
      </c>
      <c r="K128" s="32">
        <f t="shared" si="64"/>
        <v>1.8957345971564E-2</v>
      </c>
      <c r="L128" s="18">
        <f>IF(ISNUMBER(J128), $B145 * K128, "")</f>
        <v>5687.2037914692</v>
      </c>
      <c r="M128" s="31">
        <v>8.5500000000000007</v>
      </c>
      <c r="N128" s="32">
        <f t="shared" si="65"/>
        <v>1.303317535545038E-2</v>
      </c>
      <c r="O128" s="18">
        <f>IF(ISNUMBER(M128), $B145 * N128, "")</f>
        <v>3909.9526066351141</v>
      </c>
      <c r="Q128" s="275"/>
      <c r="R128" s="275"/>
      <c r="S128" s="275"/>
    </row>
    <row r="129" spans="1:19" ht="17.25" thickBot="1">
      <c r="A129" s="19" t="s">
        <v>220</v>
      </c>
      <c r="B129" s="20">
        <v>20</v>
      </c>
      <c r="C129" s="21">
        <v>2.5641025599999999E-2</v>
      </c>
      <c r="D129" s="20">
        <v>20.100000000000001</v>
      </c>
      <c r="E129" s="21">
        <f t="shared" si="62"/>
        <v>5.0000000000000712E-3</v>
      </c>
      <c r="F129" s="22">
        <f>IF(ISNUMBER(D129), $B145 * E129, "")</f>
        <v>1500.0000000000214</v>
      </c>
      <c r="G129" s="30">
        <v>20</v>
      </c>
      <c r="H129" s="21">
        <f t="shared" si="63"/>
        <v>0</v>
      </c>
      <c r="I129" s="101">
        <f>IF(ISNUMBER(G129), $B145 * H129, "")</f>
        <v>0</v>
      </c>
      <c r="J129" s="20">
        <v>20.100000000000001</v>
      </c>
      <c r="K129" s="21">
        <f t="shared" si="64"/>
        <v>5.0000000000000712E-3</v>
      </c>
      <c r="L129" s="22">
        <f>IF(ISNUMBER(J129), $B145 * K129, "")</f>
        <v>1500.0000000000214</v>
      </c>
      <c r="M129" s="30">
        <v>20.2</v>
      </c>
      <c r="N129" s="21">
        <f t="shared" si="65"/>
        <v>9.9999999999999638E-3</v>
      </c>
      <c r="O129" s="22">
        <f>IF(ISNUMBER(M129), $B145 * N129, "")</f>
        <v>2999.9999999999891</v>
      </c>
      <c r="Q129" s="275"/>
      <c r="R129" s="275"/>
      <c r="S129" s="275"/>
    </row>
    <row r="130" spans="1:19" ht="17.25" thickBot="1">
      <c r="A130" s="17" t="s">
        <v>72</v>
      </c>
      <c r="B130" s="102">
        <v>35.4</v>
      </c>
      <c r="C130" s="103">
        <v>2.3121387300000001E-2</v>
      </c>
      <c r="D130" s="102">
        <v>37.200000000000003</v>
      </c>
      <c r="E130" s="103">
        <f>IF(ISNUMBER(D130), (D130 - $B130) / $B130, "")</f>
        <v>5.0847457627118765E-2</v>
      </c>
      <c r="F130" s="104">
        <f>IF(ISNUMBER(D130), $B145 * E130, "")</f>
        <v>15254.23728813563</v>
      </c>
      <c r="G130" s="105">
        <v>36.6</v>
      </c>
      <c r="H130" s="103">
        <f>IF(ISNUMBER(G130), (G130 - $B130) / $B130, "")</f>
        <v>3.3898305084745846E-2</v>
      </c>
      <c r="I130" s="106">
        <f>IF(ISNUMBER(G130), $B145 * H130, "")</f>
        <v>10169.491525423753</v>
      </c>
      <c r="J130" s="102">
        <v>36.9</v>
      </c>
      <c r="K130" s="103">
        <f>IF(ISNUMBER(J130), (J130 - $B130) / $B130, "")</f>
        <v>4.2372881355932208E-2</v>
      </c>
      <c r="L130" s="104">
        <f>IF(ISNUMBER(J130), $B145 * K130, "")</f>
        <v>12711.864406779663</v>
      </c>
      <c r="M130" s="105">
        <v>37.4</v>
      </c>
      <c r="N130" s="103">
        <f>IF(ISNUMBER(M130), (M130 - $B130) / $B130, "")</f>
        <v>5.6497175141242938E-2</v>
      </c>
      <c r="O130" s="104">
        <f>IF(ISNUMBER(M130), $B145 * N130, "")</f>
        <v>16949.152542372882</v>
      </c>
      <c r="Q130" s="275"/>
      <c r="R130" s="275"/>
      <c r="S130" s="275"/>
    </row>
    <row r="131" spans="1:19" ht="17.25" thickBot="1">
      <c r="A131" s="17" t="s">
        <v>236</v>
      </c>
      <c r="B131" s="15">
        <v>76.900000000000006</v>
      </c>
      <c r="C131" s="32">
        <v>1.8543046399999999E-2</v>
      </c>
      <c r="D131" s="15">
        <v>77.099999999999994</v>
      </c>
      <c r="E131" s="32">
        <f t="shared" ref="E131:E134" si="66">IF(ISNUMBER(D131), (D131 - $B131) / $B131, "")</f>
        <v>2.6007802340700732E-3</v>
      </c>
      <c r="F131" s="18">
        <f>IF(ISNUMBER(D131), $B145 * E131, "")</f>
        <v>780.23407022102197</v>
      </c>
      <c r="G131" s="31">
        <v>76.900000000000006</v>
      </c>
      <c r="H131" s="32">
        <f t="shared" ref="H131:H134" si="67">IF(ISNUMBER(G131), (G131 - $B131) / $B131, "")</f>
        <v>0</v>
      </c>
      <c r="I131" s="97">
        <f>IF(ISNUMBER(G131), $B145 * H131, "")</f>
        <v>0</v>
      </c>
      <c r="J131" s="15">
        <v>77</v>
      </c>
      <c r="K131" s="32">
        <f t="shared" ref="K131:K134" si="68">IF(ISNUMBER(J131), (J131 - $B131) / $B131, "")</f>
        <v>1.3003901170350366E-3</v>
      </c>
      <c r="L131" s="18">
        <f>IF(ISNUMBER(J131), $B145 * K131, "")</f>
        <v>390.11703511051098</v>
      </c>
      <c r="M131" s="31">
        <v>77.3</v>
      </c>
      <c r="N131" s="32">
        <f t="shared" ref="N131:N134" si="69">IF(ISNUMBER(M131), (M131 - $B131) / $B131, "")</f>
        <v>5.2015604681403312E-3</v>
      </c>
      <c r="O131" s="18">
        <f>IF(ISNUMBER(M131), $B145 * N131, "")</f>
        <v>1560.4681404420994</v>
      </c>
      <c r="Q131" s="275"/>
      <c r="R131" s="275"/>
      <c r="S131" s="275"/>
    </row>
    <row r="132" spans="1:19" ht="17.25" thickBot="1">
      <c r="A132" s="17" t="s">
        <v>228</v>
      </c>
      <c r="B132" s="15">
        <v>19.8</v>
      </c>
      <c r="C132" s="32">
        <v>1.02040816E-2</v>
      </c>
      <c r="D132" s="15">
        <v>19.899999999999999</v>
      </c>
      <c r="E132" s="32">
        <f t="shared" si="66"/>
        <v>5.0505050505049425E-3</v>
      </c>
      <c r="F132" s="18">
        <f>IF(ISNUMBER(D132), $B145 * E132, "")</f>
        <v>1515.1515151514827</v>
      </c>
      <c r="G132" s="31">
        <v>19.8</v>
      </c>
      <c r="H132" s="32">
        <f t="shared" si="67"/>
        <v>0</v>
      </c>
      <c r="I132" s="97">
        <f>IF(ISNUMBER(G132), $B145 * H132, "")</f>
        <v>0</v>
      </c>
      <c r="J132" s="15">
        <v>19.899999999999999</v>
      </c>
      <c r="K132" s="32">
        <f t="shared" si="68"/>
        <v>5.0505050505049425E-3</v>
      </c>
      <c r="L132" s="18">
        <f>IF(ISNUMBER(J132), $B145 * K132, "")</f>
        <v>1515.1515151514827</v>
      </c>
      <c r="M132" s="31">
        <v>19.899999999999999</v>
      </c>
      <c r="N132" s="32">
        <f t="shared" si="69"/>
        <v>5.0505050505049425E-3</v>
      </c>
      <c r="O132" s="18">
        <f>IF(ISNUMBER(M132), $B145 * N132, "")</f>
        <v>1515.1515151514827</v>
      </c>
      <c r="Q132" s="275"/>
      <c r="R132" s="275"/>
      <c r="S132" s="275"/>
    </row>
    <row r="133" spans="1:19" ht="17.25" thickBot="1">
      <c r="A133" s="17" t="s">
        <v>266</v>
      </c>
      <c r="B133" s="15">
        <v>94.2</v>
      </c>
      <c r="C133" s="32">
        <v>5.3361792999999996E-3</v>
      </c>
      <c r="D133" s="15">
        <v>93.5</v>
      </c>
      <c r="E133" s="32">
        <f t="shared" si="66"/>
        <v>-7.430997876857779E-3</v>
      </c>
      <c r="F133" s="18">
        <f>IF(ISNUMBER(D133), $B145 * E133, "")</f>
        <v>-2229.2993630573337</v>
      </c>
      <c r="G133" s="31">
        <v>93.4</v>
      </c>
      <c r="H133" s="32">
        <f t="shared" si="67"/>
        <v>-8.4925690021231126E-3</v>
      </c>
      <c r="I133" s="97">
        <f>IF(ISNUMBER(G133), $B145 * H133, "")</f>
        <v>-2547.7707006369337</v>
      </c>
      <c r="J133" s="15">
        <v>93.6</v>
      </c>
      <c r="K133" s="32">
        <f t="shared" si="68"/>
        <v>-6.3694267515924472E-3</v>
      </c>
      <c r="L133" s="18">
        <f>IF(ISNUMBER(J133), $B145 * K133, "")</f>
        <v>-1910.8280254777342</v>
      </c>
      <c r="M133" s="31">
        <v>93.6</v>
      </c>
      <c r="N133" s="32">
        <f t="shared" si="69"/>
        <v>-6.3694267515924472E-3</v>
      </c>
      <c r="O133" s="18">
        <f>IF(ISNUMBER(M133), $B145 * N133, "")</f>
        <v>-1910.8280254777342</v>
      </c>
      <c r="Q133" s="33"/>
      <c r="R133" s="33"/>
    </row>
    <row r="134" spans="1:19" ht="17.25" thickBot="1">
      <c r="A134" s="23" t="s">
        <v>222</v>
      </c>
      <c r="B134" s="24">
        <v>20.100000000000001</v>
      </c>
      <c r="C134" s="25">
        <v>5.0000000000000001E-3</v>
      </c>
      <c r="D134" s="24">
        <v>20.100000000000001</v>
      </c>
      <c r="E134" s="25">
        <f t="shared" si="66"/>
        <v>0</v>
      </c>
      <c r="F134" s="100">
        <f>IF(ISNUMBER(D134), $B145 * E134, "")</f>
        <v>0</v>
      </c>
      <c r="G134" s="98">
        <v>19.899999999999999</v>
      </c>
      <c r="H134" s="25">
        <f t="shared" si="67"/>
        <v>-9.9502487562190458E-3</v>
      </c>
      <c r="I134" s="99">
        <f>IF(ISNUMBER(G134), $B145 * H134, "")</f>
        <v>-2985.0746268657135</v>
      </c>
      <c r="J134" s="24">
        <v>20.100000000000001</v>
      </c>
      <c r="K134" s="25">
        <f t="shared" si="68"/>
        <v>0</v>
      </c>
      <c r="L134" s="100">
        <f>IF(ISNUMBER(J134), $B145 * K134, "")</f>
        <v>0</v>
      </c>
      <c r="M134" s="98">
        <v>20.100000000000001</v>
      </c>
      <c r="N134" s="25">
        <f t="shared" si="69"/>
        <v>0</v>
      </c>
      <c r="O134" s="100">
        <f>IF(ISNUMBER(M134), $B145 * N134, "")</f>
        <v>0</v>
      </c>
      <c r="Q134" s="284"/>
      <c r="R134" s="285"/>
      <c r="S134" s="286"/>
    </row>
    <row r="135" spans="1:19">
      <c r="A135" s="12" t="s">
        <v>214</v>
      </c>
      <c r="B135" s="13">
        <v>24.3</v>
      </c>
      <c r="C135" s="14">
        <v>4.1322314000000002E-3</v>
      </c>
      <c r="D135" s="13">
        <v>24.2</v>
      </c>
      <c r="E135" s="14">
        <f>IF(ISNUMBER(D135), (D135 - $B135) / $B135, "")</f>
        <v>-4.1152263374486181E-3</v>
      </c>
      <c r="F135" s="16">
        <f>IF(ISNUMBER(D135), $B145 * E135, "")</f>
        <v>-1234.5679012345854</v>
      </c>
      <c r="G135" s="29">
        <v>24.2</v>
      </c>
      <c r="H135" s="14">
        <f>IF(ISNUMBER(G135), (G135 - $B135) / $B135, "")</f>
        <v>-4.1152263374486181E-3</v>
      </c>
      <c r="I135" s="96">
        <f>IF(ISNUMBER(G135), $B145 * H135, "")</f>
        <v>-1234.5679012345854</v>
      </c>
      <c r="J135" s="13">
        <v>24.2</v>
      </c>
      <c r="K135" s="14">
        <f>IF(ISNUMBER(J135), (J135 - $B135) / $B135, "")</f>
        <v>-4.1152263374486181E-3</v>
      </c>
      <c r="L135" s="16">
        <f>IF(ISNUMBER(J135), $B145 * K135, "")</f>
        <v>-1234.5679012345854</v>
      </c>
      <c r="M135" s="29">
        <v>24.2</v>
      </c>
      <c r="N135" s="14">
        <f>IF(ISNUMBER(M135), (M135 - $B135) / $B135, "")</f>
        <v>-4.1152263374486181E-3</v>
      </c>
      <c r="O135" s="16">
        <f>IF(ISNUMBER(M135), $B145 * N135, "")</f>
        <v>-1234.5679012345854</v>
      </c>
      <c r="Q135" s="287"/>
      <c r="R135" s="288"/>
      <c r="S135" s="289"/>
    </row>
    <row r="136" spans="1:19" ht="17.25" thickBot="1">
      <c r="A136" s="17" t="s">
        <v>126</v>
      </c>
      <c r="B136" s="15">
        <v>60.4</v>
      </c>
      <c r="C136" s="32">
        <v>3.3222591000000002E-3</v>
      </c>
      <c r="D136" s="15">
        <v>69.599999999999994</v>
      </c>
      <c r="E136" s="32">
        <f t="shared" ref="E136:E139" si="70">IF(ISNUMBER(D136), (D136 - $B136) / $B136, "")</f>
        <v>0.15231788079470193</v>
      </c>
      <c r="F136" s="18">
        <f>IF(ISNUMBER(D136), $B145 * E136, "")</f>
        <v>45695.364238410577</v>
      </c>
      <c r="G136" s="31">
        <v>70.3</v>
      </c>
      <c r="H136" s="32">
        <f t="shared" ref="H136:H139" si="71">IF(ISNUMBER(G136), (G136 - $B136) / $B136, "")</f>
        <v>0.1639072847682119</v>
      </c>
      <c r="I136" s="97">
        <f>IF(ISNUMBER(G136), $B145 * H136, "")</f>
        <v>49172.185430463571</v>
      </c>
      <c r="J136" s="15">
        <v>71.2</v>
      </c>
      <c r="K136" s="32">
        <f t="shared" ref="K136:K139" si="72">IF(ISNUMBER(J136), (J136 - $B136) / $B136, "")</f>
        <v>0.17880794701986763</v>
      </c>
      <c r="L136" s="18">
        <f>IF(ISNUMBER(J136), $B145 * K136, "")</f>
        <v>53642.384105960286</v>
      </c>
      <c r="M136" s="31">
        <v>70.7</v>
      </c>
      <c r="N136" s="32">
        <f t="shared" ref="N136:N139" si="73">IF(ISNUMBER(M136), (M136 - $B136) / $B136, "")</f>
        <v>0.17052980132450338</v>
      </c>
      <c r="O136" s="18">
        <f>IF(ISNUMBER(M136), $B145 * N136, "")</f>
        <v>51158.940397351013</v>
      </c>
      <c r="Q136" s="290"/>
      <c r="R136" s="291"/>
      <c r="S136" s="292"/>
    </row>
    <row r="137" spans="1:19" ht="17.25" thickBot="1">
      <c r="A137" s="17" t="s">
        <v>198</v>
      </c>
      <c r="B137" s="15">
        <v>31.2</v>
      </c>
      <c r="C137" s="32">
        <v>3.2154341000000001E-3</v>
      </c>
      <c r="D137" s="15">
        <v>31.5</v>
      </c>
      <c r="E137" s="32">
        <f t="shared" si="70"/>
        <v>9.6153846153846385E-3</v>
      </c>
      <c r="F137" s="18">
        <f>IF(ISNUMBER(D137), $B145 * E137, "")</f>
        <v>2884.6153846153916</v>
      </c>
      <c r="G137" s="31">
        <v>31.3</v>
      </c>
      <c r="H137" s="32">
        <f t="shared" si="71"/>
        <v>3.2051282051282506E-3</v>
      </c>
      <c r="I137" s="97">
        <f>IF(ISNUMBER(G137), $B145 * H137, "")</f>
        <v>961.53846153847519</v>
      </c>
      <c r="J137" s="15">
        <v>31.5</v>
      </c>
      <c r="K137" s="32">
        <f t="shared" si="72"/>
        <v>9.6153846153846385E-3</v>
      </c>
      <c r="L137" s="18">
        <f>IF(ISNUMBER(J137), $B145 * K137, "")</f>
        <v>2884.6153846153916</v>
      </c>
      <c r="M137" s="31">
        <v>31.7</v>
      </c>
      <c r="N137" s="32">
        <f t="shared" si="73"/>
        <v>1.6025641025641028E-2</v>
      </c>
      <c r="O137" s="18">
        <f>IF(ISNUMBER(M137), $B145 * N137, "")</f>
        <v>4807.6923076923085</v>
      </c>
      <c r="Q137" s="275"/>
      <c r="R137" s="275"/>
      <c r="S137" s="275"/>
    </row>
    <row r="138" spans="1:19" ht="17.25" thickBot="1">
      <c r="A138" s="17" t="s">
        <v>154</v>
      </c>
      <c r="B138" s="15">
        <v>22.1</v>
      </c>
      <c r="C138" s="32">
        <v>0</v>
      </c>
      <c r="D138" s="15">
        <v>22.2</v>
      </c>
      <c r="E138" s="32">
        <f t="shared" si="70"/>
        <v>4.5248868778279576E-3</v>
      </c>
      <c r="F138" s="18">
        <f>IF(ISNUMBER(D138), $B145 * E138, "")</f>
        <v>1357.4660633483873</v>
      </c>
      <c r="G138" s="31">
        <v>21.9</v>
      </c>
      <c r="H138" s="32">
        <f t="shared" si="71"/>
        <v>-9.049773755656236E-3</v>
      </c>
      <c r="I138" s="97">
        <f>IF(ISNUMBER(G138), $B145 * H138, "")</f>
        <v>-2714.9321266968709</v>
      </c>
      <c r="J138" s="15">
        <v>22.1</v>
      </c>
      <c r="K138" s="32">
        <f t="shared" si="72"/>
        <v>0</v>
      </c>
      <c r="L138" s="18">
        <f>IF(ISNUMBER(J138), $B145 * K138, "")</f>
        <v>0</v>
      </c>
      <c r="M138" s="31">
        <v>22.2</v>
      </c>
      <c r="N138" s="32">
        <f t="shared" si="73"/>
        <v>4.5248868778279576E-3</v>
      </c>
      <c r="O138" s="18">
        <f>IF(ISNUMBER(M138), $B145 * N138, "")</f>
        <v>1357.4660633483873</v>
      </c>
      <c r="Q138" s="270"/>
      <c r="R138" s="270"/>
      <c r="S138" s="270"/>
    </row>
    <row r="139" spans="1:19" ht="17.25" thickBot="1">
      <c r="A139" s="19" t="s">
        <v>268</v>
      </c>
      <c r="B139" s="20">
        <v>96.5</v>
      </c>
      <c r="C139" s="21">
        <v>-1.0351967E-3</v>
      </c>
      <c r="D139" s="20">
        <v>98</v>
      </c>
      <c r="E139" s="21">
        <f t="shared" si="70"/>
        <v>1.5544041450777202E-2</v>
      </c>
      <c r="F139" s="22">
        <f>IF(ISNUMBER(D139), $B145 * E139, "")</f>
        <v>4663.2124352331602</v>
      </c>
      <c r="G139" s="30">
        <v>97.1</v>
      </c>
      <c r="H139" s="21">
        <f t="shared" si="71"/>
        <v>6.2176165803108216E-3</v>
      </c>
      <c r="I139" s="101">
        <f>IF(ISNUMBER(G139), $B145 * H139, "")</f>
        <v>1865.2849740932465</v>
      </c>
      <c r="J139" s="20">
        <v>97.1</v>
      </c>
      <c r="K139" s="21">
        <f t="shared" si="72"/>
        <v>6.2176165803108216E-3</v>
      </c>
      <c r="L139" s="22">
        <f>IF(ISNUMBER(J139), $B145 * K139, "")</f>
        <v>1865.2849740932465</v>
      </c>
      <c r="M139" s="30">
        <v>97</v>
      </c>
      <c r="N139" s="21">
        <f t="shared" si="73"/>
        <v>5.1813471502590676E-3</v>
      </c>
      <c r="O139" s="22">
        <f>IF(ISNUMBER(M139), $B145 * N139, "")</f>
        <v>1554.4041450777202</v>
      </c>
      <c r="Q139" s="270"/>
      <c r="R139" s="270"/>
      <c r="S139" s="270"/>
    </row>
    <row r="140" spans="1:19" ht="17.25" thickBot="1">
      <c r="A140" s="17" t="s">
        <v>186</v>
      </c>
      <c r="B140" s="102">
        <v>26.1</v>
      </c>
      <c r="C140" s="103">
        <v>-3.8167939000000001E-3</v>
      </c>
      <c r="D140" s="102">
        <v>26.6</v>
      </c>
      <c r="E140" s="103">
        <f>IF(ISNUMBER(D140), (D140 - $B140) / $B140, "")</f>
        <v>1.9157088122605363E-2</v>
      </c>
      <c r="F140" s="104">
        <f>IF(ISNUMBER(D140), $B145 * E140, "")</f>
        <v>5747.1264367816084</v>
      </c>
      <c r="G140" s="105">
        <v>26.2</v>
      </c>
      <c r="H140" s="103">
        <f>IF(ISNUMBER(G140), (G140 - $B140) / $B140, "")</f>
        <v>3.8314176245209911E-3</v>
      </c>
      <c r="I140" s="106">
        <f>IF(ISNUMBER(G140), $B145 * H140, "")</f>
        <v>1149.4252873562973</v>
      </c>
      <c r="J140" s="102">
        <v>26.5</v>
      </c>
      <c r="K140" s="103">
        <f>IF(ISNUMBER(J140), (J140 - $B140) / $B140, "")</f>
        <v>1.5325670498084237E-2</v>
      </c>
      <c r="L140" s="104">
        <f>IF(ISNUMBER(J140), $B145 * K140, "")</f>
        <v>4597.7011494252711</v>
      </c>
      <c r="M140" s="105">
        <v>26.3</v>
      </c>
      <c r="N140" s="103">
        <f>IF(ISNUMBER(M140), (M140 - $B140) / $B140, "")</f>
        <v>7.6628352490421183E-3</v>
      </c>
      <c r="O140" s="104">
        <f>IF(ISNUMBER(M140), $B145 * N140, "")</f>
        <v>2298.8505747126355</v>
      </c>
      <c r="Q140" s="275"/>
      <c r="R140" s="275"/>
      <c r="S140" s="275"/>
    </row>
    <row r="141" spans="1:19" ht="17.25" thickBot="1">
      <c r="A141" s="17" t="s">
        <v>218</v>
      </c>
      <c r="B141" s="15">
        <v>31.8</v>
      </c>
      <c r="C141" s="32">
        <v>-6.2500000000000003E-3</v>
      </c>
      <c r="D141" s="15">
        <v>32.1</v>
      </c>
      <c r="E141" s="32">
        <f t="shared" ref="E141:E144" si="74">IF(ISNUMBER(D141), (D141 - $B141) / $B141, "")</f>
        <v>9.4339622641509656E-3</v>
      </c>
      <c r="F141" s="18">
        <f>IF(ISNUMBER(D141), $B145 * E141, "")</f>
        <v>2830.1886792452897</v>
      </c>
      <c r="G141" s="31">
        <v>32</v>
      </c>
      <c r="H141" s="32">
        <f t="shared" ref="H141:H144" si="75">IF(ISNUMBER(G141), (G141 - $B141) / $B141, "")</f>
        <v>6.2893081761006067E-3</v>
      </c>
      <c r="I141" s="97">
        <f>IF(ISNUMBER(G141), $B145 * H141, "")</f>
        <v>1886.7924528301821</v>
      </c>
      <c r="J141" s="15">
        <v>32.1</v>
      </c>
      <c r="K141" s="32">
        <f t="shared" ref="K141:K144" si="76">IF(ISNUMBER(J141), (J141 - $B141) / $B141, "")</f>
        <v>9.4339622641509656E-3</v>
      </c>
      <c r="L141" s="18">
        <f>IF(ISNUMBER(J141), $B145 * K141, "")</f>
        <v>2830.1886792452897</v>
      </c>
      <c r="M141" s="31">
        <v>32.1</v>
      </c>
      <c r="N141" s="32">
        <f t="shared" ref="N141:N144" si="77">IF(ISNUMBER(M141), (M141 - $B141) / $B141, "")</f>
        <v>9.4339622641509656E-3</v>
      </c>
      <c r="O141" s="18">
        <f>IF(ISNUMBER(M141), $B145 * N141, "")</f>
        <v>2830.1886792452897</v>
      </c>
      <c r="Q141" s="275"/>
      <c r="R141" s="275"/>
      <c r="S141" s="275"/>
    </row>
    <row r="142" spans="1:19" ht="17.25" thickBot="1">
      <c r="A142" s="17" t="s">
        <v>172</v>
      </c>
      <c r="B142" s="15">
        <v>28.3</v>
      </c>
      <c r="C142" s="32">
        <v>-1.04895105E-2</v>
      </c>
      <c r="D142" s="15">
        <v>28.2</v>
      </c>
      <c r="E142" s="32">
        <f t="shared" si="74"/>
        <v>-3.5335689045936898E-3</v>
      </c>
      <c r="F142" s="18">
        <f>IF(ISNUMBER(D142), $B145 * E142, "")</f>
        <v>-1060.0706713781069</v>
      </c>
      <c r="G142" s="31">
        <v>28</v>
      </c>
      <c r="H142" s="32">
        <f t="shared" si="75"/>
        <v>-1.0600706713780944E-2</v>
      </c>
      <c r="I142" s="97">
        <f>IF(ISNUMBER(G142), $B145 * H142, "")</f>
        <v>-3180.212014134283</v>
      </c>
      <c r="J142" s="15">
        <v>28.1</v>
      </c>
      <c r="K142" s="32">
        <f t="shared" si="76"/>
        <v>-7.0671378091872539E-3</v>
      </c>
      <c r="L142" s="18">
        <f>IF(ISNUMBER(J142), $B145 * K142, "")</f>
        <v>-2120.1413427561761</v>
      </c>
      <c r="M142" s="31">
        <v>28.2</v>
      </c>
      <c r="N142" s="32">
        <f t="shared" si="77"/>
        <v>-3.5335689045936898E-3</v>
      </c>
      <c r="O142" s="18">
        <f>IF(ISNUMBER(M142), $B145 * N142, "")</f>
        <v>-1060.0706713781069</v>
      </c>
      <c r="Q142" s="275"/>
      <c r="R142" s="275"/>
      <c r="S142" s="275"/>
    </row>
    <row r="143" spans="1:19">
      <c r="A143" s="17" t="s">
        <v>254</v>
      </c>
      <c r="B143" s="15">
        <v>93</v>
      </c>
      <c r="C143" s="32">
        <v>-1.4830508500000001E-2</v>
      </c>
      <c r="D143" s="15">
        <v>92.4</v>
      </c>
      <c r="E143" s="32">
        <f t="shared" si="74"/>
        <v>-6.4516129032257457E-3</v>
      </c>
      <c r="F143" s="18">
        <f>IF(ISNUMBER(D143), $B145 * E143, "")</f>
        <v>-1935.4838709677238</v>
      </c>
      <c r="G143" s="31">
        <v>92.1</v>
      </c>
      <c r="H143" s="32">
        <f t="shared" si="75"/>
        <v>-9.6774193548387708E-3</v>
      </c>
      <c r="I143" s="97">
        <f>IF(ISNUMBER(G143), $B145 * H143, "")</f>
        <v>-2903.2258064516313</v>
      </c>
      <c r="J143" s="15">
        <v>92.4</v>
      </c>
      <c r="K143" s="32">
        <f t="shared" si="76"/>
        <v>-6.4516129032257457E-3</v>
      </c>
      <c r="L143" s="18">
        <f>IF(ISNUMBER(J143), $B145 * K143, "")</f>
        <v>-1935.4838709677238</v>
      </c>
      <c r="M143" s="31">
        <v>92.4</v>
      </c>
      <c r="N143" s="32">
        <f t="shared" si="77"/>
        <v>-6.4516129032257457E-3</v>
      </c>
      <c r="O143" s="18">
        <f>IF(ISNUMBER(M143), $B145 * N143, "")</f>
        <v>-1935.4838709677238</v>
      </c>
      <c r="Q143" s="297"/>
      <c r="R143" s="298"/>
      <c r="S143" s="299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00"/>
      <c r="R144" s="301"/>
      <c r="S144" s="302"/>
    </row>
    <row r="145" spans="1:19" ht="17.25" thickBot="1">
      <c r="A145" s="26" t="s">
        <v>301</v>
      </c>
      <c r="B145" s="306">
        <f>$B$37</f>
        <v>300000</v>
      </c>
      <c r="C145" s="307"/>
      <c r="D145" s="26" t="s">
        <v>302</v>
      </c>
      <c r="E145" s="27">
        <f>IF(COUNT(E125:E144), SUM(E125:E144) / COUNT(E125:E144), 0)</f>
        <v>1.7011904959877054E-2</v>
      </c>
      <c r="F145" s="28">
        <f>SUM(F125:F144)</f>
        <v>96967.858271299192</v>
      </c>
      <c r="G145" s="26" t="s">
        <v>302</v>
      </c>
      <c r="H145" s="27">
        <f>IF(COUNT(H125:H144), SUM(H125:H144) / COUNT(H125:H144), 0)</f>
        <v>1.0964410328502251E-2</v>
      </c>
      <c r="I145" s="28">
        <f>SUM(I125:I144)</f>
        <v>62497.138872462834</v>
      </c>
      <c r="J145" s="26" t="s">
        <v>302</v>
      </c>
      <c r="K145" s="27">
        <f>IF(COUNT(K125:K144), SUM(K125:K144) / COUNT(K125:K144), 0)</f>
        <v>1.6520727415929037E-2</v>
      </c>
      <c r="L145" s="28">
        <f>SUM(L125:L144)</f>
        <v>94168.146270795492</v>
      </c>
      <c r="M145" s="26" t="s">
        <v>302</v>
      </c>
      <c r="N145" s="27">
        <f>IF(COUNT(N125:N144), SUM(N125:N144) / COUNT(N125:N144), 0)</f>
        <v>1.6121951928549837E-2</v>
      </c>
      <c r="O145" s="28">
        <f>SUM(O125:O144)</f>
        <v>91895.125992734043</v>
      </c>
      <c r="Q145" s="303"/>
      <c r="R145" s="304"/>
      <c r="S145" s="305"/>
    </row>
    <row r="147" spans="1:19" ht="17.25" thickBot="1"/>
    <row r="148" spans="1:19" ht="17.25" thickBot="1">
      <c r="A148" s="249" t="s">
        <v>289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1"/>
      <c r="Q148" s="270"/>
      <c r="R148" s="270"/>
      <c r="S148" s="270"/>
    </row>
    <row r="149" spans="1:19" ht="17.25" thickBot="1">
      <c r="A149" s="107" t="s">
        <v>298</v>
      </c>
      <c r="B149" s="249" t="s">
        <v>49</v>
      </c>
      <c r="C149" s="251"/>
      <c r="D149" s="249" t="s">
        <v>58</v>
      </c>
      <c r="E149" s="250"/>
      <c r="F149" s="251"/>
      <c r="G149" s="276">
        <f>_xlfn.IFNA(VLOOKUP(B149, 현재가테이블!$B$2:$D$200, 2, FALSE), "-")</f>
        <v>60874000</v>
      </c>
      <c r="H149" s="277"/>
      <c r="I149" s="278"/>
      <c r="J149" s="249" t="s">
        <v>59</v>
      </c>
      <c r="K149" s="250"/>
      <c r="L149" s="251"/>
      <c r="M149" s="279">
        <f>_xlfn.IFNA(VLOOKUP(B149, 현재가테이블!$B$2:$D$200, 3, FALSE), "-")</f>
        <v>-1.4936000099999999E-2</v>
      </c>
      <c r="N149" s="280"/>
      <c r="O149" s="281"/>
      <c r="Q149" s="270"/>
      <c r="R149" s="270"/>
      <c r="S149" s="270"/>
    </row>
    <row r="150" spans="1:19" ht="17.25" thickBot="1">
      <c r="A150" s="293" t="s">
        <v>55</v>
      </c>
      <c r="B150" s="295" t="str">
        <f>TEXT($G$1, "[$-ko-KR]yyyy-mm-dd(ddd) ") &amp; "오전 00:00"</f>
        <v>2021-05-01(토) 오전 00:00</v>
      </c>
      <c r="C150" s="296"/>
      <c r="D150" s="272" t="str">
        <f>TEXT($G$1, "[$-ko-KR]yyyy-mm-dd(ddd) ") &amp; "오후 14:00"</f>
        <v>2021-05-01(토) 오후 14:00</v>
      </c>
      <c r="E150" s="273"/>
      <c r="F150" s="274"/>
      <c r="G150" s="272" t="str">
        <f>TEXT($G$1, "[$-ko-KR]yyyy-mm-dd(ddd) ") &amp; "오후 19:00"</f>
        <v>2021-05-01(토) 오후 19:00</v>
      </c>
      <c r="H150" s="273"/>
      <c r="I150" s="274"/>
      <c r="J150" s="272" t="str">
        <f>TEXT($G$1, "[$-ko-KR]yyyy-mm-dd(ddd) ") &amp; "오후 21:00"</f>
        <v>2021-05-01(토) 오후 21:00</v>
      </c>
      <c r="K150" s="273"/>
      <c r="L150" s="274"/>
      <c r="M150" s="272" t="str">
        <f>TEXT($G$1+1, "[$-ko-KR]yyyy-mm-dd(ddd) ") &amp; "오전 00:00"</f>
        <v>2021-05-02(일) 오전 00:00</v>
      </c>
      <c r="N150" s="273"/>
      <c r="O150" s="274"/>
      <c r="Q150" s="270"/>
      <c r="R150" s="270"/>
      <c r="S150" s="270"/>
    </row>
    <row r="151" spans="1:19" ht="17.25" thickBot="1">
      <c r="A151" s="294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75"/>
      <c r="R151" s="275"/>
      <c r="S151" s="275"/>
    </row>
    <row r="152" spans="1:19" ht="17.25" thickBot="1">
      <c r="A152" s="12" t="s">
        <v>216</v>
      </c>
      <c r="B152" s="13">
        <v>448</v>
      </c>
      <c r="C152" s="14">
        <v>6.7415729999999998E-3</v>
      </c>
      <c r="D152" s="13">
        <v>483</v>
      </c>
      <c r="E152" s="14">
        <f>IF(ISNUMBER(D152), (D152 - $B152) / $B152, "")</f>
        <v>7.8125E-2</v>
      </c>
      <c r="F152" s="16">
        <f>IF(ISNUMBER(D152), $B172 * E152, "")</f>
        <v>23437.5</v>
      </c>
      <c r="G152" s="29">
        <v>487</v>
      </c>
      <c r="H152" s="14">
        <f>IF(ISNUMBER(G152), (G152 - $B152) / $B152, "")</f>
        <v>8.7053571428571425E-2</v>
      </c>
      <c r="I152" s="96">
        <f>IF(ISNUMBER(G152), $B172 * H152, "")</f>
        <v>26116.071428571428</v>
      </c>
      <c r="J152" s="13">
        <v>503</v>
      </c>
      <c r="K152" s="14">
        <f>IF(ISNUMBER(J152), (J152 - $B152) / $B152, "")</f>
        <v>0.12276785714285714</v>
      </c>
      <c r="L152" s="16">
        <f>IF(ISNUMBER(J152), $B172 * K152, "")</f>
        <v>36830.357142857138</v>
      </c>
      <c r="M152" s="29">
        <v>501</v>
      </c>
      <c r="N152" s="14">
        <f>IF(ISNUMBER(M152), (M152 - $B152) / $B152, "")</f>
        <v>0.11830357142857142</v>
      </c>
      <c r="O152" s="16">
        <f>IF(ISNUMBER(M152), $B172 * N152, "")</f>
        <v>35491.071428571428</v>
      </c>
      <c r="Q152" s="270"/>
      <c r="R152" s="270"/>
      <c r="S152" s="270"/>
    </row>
    <row r="153" spans="1:19" ht="17.25" thickBot="1">
      <c r="A153" s="17" t="s">
        <v>212</v>
      </c>
      <c r="B153" s="15">
        <v>156</v>
      </c>
      <c r="C153" s="32">
        <v>6.4516128999999997E-3</v>
      </c>
      <c r="D153" s="15">
        <v>158</v>
      </c>
      <c r="E153" s="32">
        <f t="shared" ref="E153:E156" si="78">IF(ISNUMBER(D153), (D153 - $B153) / $B153, "")</f>
        <v>1.282051282051282E-2</v>
      </c>
      <c r="F153" s="18">
        <f>IF(ISNUMBER(D153), $B172 * E153, "")</f>
        <v>3846.1538461538462</v>
      </c>
      <c r="G153" s="31">
        <v>158</v>
      </c>
      <c r="H153" s="32">
        <f t="shared" ref="H153:H156" si="79">IF(ISNUMBER(G153), (G153 - $B153) / $B153, "")</f>
        <v>1.282051282051282E-2</v>
      </c>
      <c r="I153" s="97">
        <f>IF(ISNUMBER(G153), $B172 * H153, "")</f>
        <v>3846.1538461538462</v>
      </c>
      <c r="J153" s="15">
        <v>161</v>
      </c>
      <c r="K153" s="32">
        <f t="shared" ref="K153:K156" si="80">IF(ISNUMBER(J153), (J153 - $B153) / $B153, "")</f>
        <v>3.2051282051282048E-2</v>
      </c>
      <c r="L153" s="18">
        <f>IF(ISNUMBER(J153), $B172 * K153, "")</f>
        <v>9615.3846153846152</v>
      </c>
      <c r="M153" s="31">
        <v>164</v>
      </c>
      <c r="N153" s="32">
        <f t="shared" ref="N153:N156" si="81">IF(ISNUMBER(M153), (M153 - $B153) / $B153, "")</f>
        <v>5.128205128205128E-2</v>
      </c>
      <c r="O153" s="18">
        <f>IF(ISNUMBER(M153), $B172 * N153, "")</f>
        <v>15384.615384615385</v>
      </c>
      <c r="Q153" s="270"/>
      <c r="R153" s="270"/>
      <c r="S153" s="270"/>
    </row>
    <row r="154" spans="1:19" ht="17.25" thickBot="1">
      <c r="A154" s="17" t="s">
        <v>200</v>
      </c>
      <c r="B154" s="15">
        <v>406</v>
      </c>
      <c r="C154" s="32">
        <v>4.9504950000000001E-3</v>
      </c>
      <c r="D154" s="15">
        <v>413</v>
      </c>
      <c r="E154" s="32">
        <f t="shared" si="78"/>
        <v>1.7241379310344827E-2</v>
      </c>
      <c r="F154" s="18">
        <f>IF(ISNUMBER(D154), $B172 * E154, "")</f>
        <v>5172.4137931034484</v>
      </c>
      <c r="G154" s="31">
        <v>407</v>
      </c>
      <c r="H154" s="32">
        <f t="shared" si="79"/>
        <v>2.4630541871921183E-3</v>
      </c>
      <c r="I154" s="97">
        <f>IF(ISNUMBER(G154), $B172 * H154, "")</f>
        <v>738.91625615763553</v>
      </c>
      <c r="J154" s="15">
        <v>410</v>
      </c>
      <c r="K154" s="32">
        <f t="shared" si="80"/>
        <v>9.852216748768473E-3</v>
      </c>
      <c r="L154" s="18">
        <f>IF(ISNUMBER(J154), $B172 * K154, "")</f>
        <v>2955.6650246305421</v>
      </c>
      <c r="M154" s="31">
        <v>409</v>
      </c>
      <c r="N154" s="32">
        <f t="shared" si="81"/>
        <v>7.3891625615763543E-3</v>
      </c>
      <c r="O154" s="18">
        <f>IF(ISNUMBER(M154), $B172 * N154, "")</f>
        <v>2216.7487684729062</v>
      </c>
      <c r="Q154" s="275"/>
      <c r="R154" s="275"/>
      <c r="S154" s="275"/>
    </row>
    <row r="155" spans="1:19" ht="17.25" thickBot="1">
      <c r="A155" s="17" t="s">
        <v>226</v>
      </c>
      <c r="B155" s="15">
        <v>530</v>
      </c>
      <c r="C155" s="32">
        <v>3.7878788E-3</v>
      </c>
      <c r="D155" s="15">
        <v>559</v>
      </c>
      <c r="E155" s="32">
        <f t="shared" si="78"/>
        <v>5.4716981132075473E-2</v>
      </c>
      <c r="F155" s="18">
        <f>IF(ISNUMBER(D155), $B172 * E155, "")</f>
        <v>16415.094339622643</v>
      </c>
      <c r="G155" s="31">
        <v>563</v>
      </c>
      <c r="H155" s="32">
        <f t="shared" si="79"/>
        <v>6.2264150943396226E-2</v>
      </c>
      <c r="I155" s="97">
        <f>IF(ISNUMBER(G155), $B172 * H155, "")</f>
        <v>18679.245283018867</v>
      </c>
      <c r="J155" s="15">
        <v>562</v>
      </c>
      <c r="K155" s="32">
        <f t="shared" si="80"/>
        <v>6.0377358490566038E-2</v>
      </c>
      <c r="L155" s="18">
        <f>IF(ISNUMBER(J155), $B172 * K155, "")</f>
        <v>18113.207547169812</v>
      </c>
      <c r="M155" s="31">
        <v>563</v>
      </c>
      <c r="N155" s="32">
        <f t="shared" si="81"/>
        <v>6.2264150943396226E-2</v>
      </c>
      <c r="O155" s="18">
        <f>IF(ISNUMBER(M155), $B172 * N155, "")</f>
        <v>18679.245283018867</v>
      </c>
      <c r="Q155" s="275"/>
      <c r="R155" s="275"/>
      <c r="S155" s="275"/>
    </row>
    <row r="156" spans="1:19" ht="17.25" thickBot="1">
      <c r="A156" s="19" t="s">
        <v>284</v>
      </c>
      <c r="B156" s="20">
        <v>465</v>
      </c>
      <c r="C156" s="21">
        <v>0</v>
      </c>
      <c r="D156" s="20">
        <v>469</v>
      </c>
      <c r="E156" s="21">
        <f t="shared" si="78"/>
        <v>8.6021505376344086E-3</v>
      </c>
      <c r="F156" s="22">
        <f>IF(ISNUMBER(D156), $B172 * E156, "")</f>
        <v>2580.6451612903224</v>
      </c>
      <c r="G156" s="30">
        <v>468</v>
      </c>
      <c r="H156" s="21">
        <f t="shared" si="79"/>
        <v>6.4516129032258064E-3</v>
      </c>
      <c r="I156" s="101">
        <f>IF(ISNUMBER(G156), $B172 * H156, "")</f>
        <v>1935.483870967742</v>
      </c>
      <c r="J156" s="20">
        <v>470</v>
      </c>
      <c r="K156" s="21">
        <f t="shared" si="80"/>
        <v>1.0752688172043012E-2</v>
      </c>
      <c r="L156" s="22">
        <f>IF(ISNUMBER(J156), $B172 * K156, "")</f>
        <v>3225.8064516129034</v>
      </c>
      <c r="M156" s="30">
        <v>470</v>
      </c>
      <c r="N156" s="21">
        <f t="shared" si="81"/>
        <v>1.0752688172043012E-2</v>
      </c>
      <c r="O156" s="22">
        <f>IF(ISNUMBER(M156), $B172 * N156, "")</f>
        <v>3225.8064516129034</v>
      </c>
      <c r="Q156" s="275"/>
      <c r="R156" s="275"/>
      <c r="S156" s="275"/>
    </row>
    <row r="157" spans="1:19" ht="17.25" thickBot="1">
      <c r="A157" s="17" t="s">
        <v>282</v>
      </c>
      <c r="B157" s="102">
        <v>182</v>
      </c>
      <c r="C157" s="103">
        <v>0</v>
      </c>
      <c r="D157" s="102">
        <v>181</v>
      </c>
      <c r="E157" s="103">
        <f>IF(ISNUMBER(D157), (D157 - $B157) / $B157, "")</f>
        <v>-5.4945054945054949E-3</v>
      </c>
      <c r="F157" s="104">
        <f>IF(ISNUMBER(D157), $B172 * E157, "")</f>
        <v>-1648.3516483516485</v>
      </c>
      <c r="G157" s="105">
        <v>182</v>
      </c>
      <c r="H157" s="103">
        <f>IF(ISNUMBER(G157), (G157 - $B157) / $B157, "")</f>
        <v>0</v>
      </c>
      <c r="I157" s="106">
        <f>IF(ISNUMBER(G157), $B172 * H157, "")</f>
        <v>0</v>
      </c>
      <c r="J157" s="102">
        <v>182</v>
      </c>
      <c r="K157" s="103">
        <f>IF(ISNUMBER(J157), (J157 - $B157) / $B157, "")</f>
        <v>0</v>
      </c>
      <c r="L157" s="104">
        <f>IF(ISNUMBER(J157), $B172 * K157, "")</f>
        <v>0</v>
      </c>
      <c r="M157" s="105">
        <v>184</v>
      </c>
      <c r="N157" s="103">
        <f>IF(ISNUMBER(M157), (M157 - $B157) / $B157, "")</f>
        <v>1.098901098901099E-2</v>
      </c>
      <c r="O157" s="104">
        <f>IF(ISNUMBER(M157), $B172 * N157, "")</f>
        <v>3296.7032967032969</v>
      </c>
      <c r="Q157" s="275"/>
      <c r="R157" s="275"/>
      <c r="S157" s="275"/>
    </row>
    <row r="158" spans="1:19" ht="17.25" thickBot="1">
      <c r="A158" s="17" t="s">
        <v>264</v>
      </c>
      <c r="B158" s="15">
        <v>182</v>
      </c>
      <c r="C158" s="32">
        <v>0</v>
      </c>
      <c r="D158" s="15">
        <v>183</v>
      </c>
      <c r="E158" s="32">
        <f t="shared" ref="E158:E161" si="82">IF(ISNUMBER(D158), (D158 - $B158) / $B158, "")</f>
        <v>5.4945054945054949E-3</v>
      </c>
      <c r="F158" s="18">
        <f>IF(ISNUMBER(D158), $B172 * E158, "")</f>
        <v>1648.3516483516485</v>
      </c>
      <c r="G158" s="31">
        <v>181</v>
      </c>
      <c r="H158" s="32">
        <f t="shared" ref="H158:H161" si="83">IF(ISNUMBER(G158), (G158 - $B158) / $B158, "")</f>
        <v>-5.4945054945054949E-3</v>
      </c>
      <c r="I158" s="97">
        <f>IF(ISNUMBER(G158), $B172 * H158, "")</f>
        <v>-1648.3516483516485</v>
      </c>
      <c r="J158" s="15">
        <v>184</v>
      </c>
      <c r="K158" s="32">
        <f t="shared" ref="K158:K161" si="84">IF(ISNUMBER(J158), (J158 - $B158) / $B158, "")</f>
        <v>1.098901098901099E-2</v>
      </c>
      <c r="L158" s="18">
        <f>IF(ISNUMBER(J158), $B172 * K158, "")</f>
        <v>3296.7032967032969</v>
      </c>
      <c r="M158" s="31">
        <v>183</v>
      </c>
      <c r="N158" s="32">
        <f t="shared" ref="N158:N161" si="85">IF(ISNUMBER(M158), (M158 - $B158) / $B158, "")</f>
        <v>5.4945054945054949E-3</v>
      </c>
      <c r="O158" s="18">
        <f>IF(ISNUMBER(M158), $B172 * N158, "")</f>
        <v>1648.3516483516485</v>
      </c>
      <c r="Q158" s="275"/>
      <c r="R158" s="275"/>
      <c r="S158" s="275"/>
    </row>
    <row r="159" spans="1:19" ht="17.25" thickBot="1">
      <c r="A159" s="17" t="s">
        <v>256</v>
      </c>
      <c r="B159" s="15">
        <v>267</v>
      </c>
      <c r="C159" s="32">
        <v>0</v>
      </c>
      <c r="D159" s="15">
        <v>272</v>
      </c>
      <c r="E159" s="32">
        <f t="shared" si="82"/>
        <v>1.8726591760299626E-2</v>
      </c>
      <c r="F159" s="18">
        <f>IF(ISNUMBER(D159), $B172 * E159, "")</f>
        <v>5617.9775280898875</v>
      </c>
      <c r="G159" s="31">
        <v>270</v>
      </c>
      <c r="H159" s="32">
        <f t="shared" si="83"/>
        <v>1.1235955056179775E-2</v>
      </c>
      <c r="I159" s="97">
        <f>IF(ISNUMBER(G159), $B172 * H159, "")</f>
        <v>3370.7865168539324</v>
      </c>
      <c r="J159" s="15">
        <v>273</v>
      </c>
      <c r="K159" s="32">
        <f t="shared" si="84"/>
        <v>2.247191011235955E-2</v>
      </c>
      <c r="L159" s="18">
        <f>IF(ISNUMBER(J159), $B172 * K159, "")</f>
        <v>6741.5730337078649</v>
      </c>
      <c r="M159" s="31">
        <v>270</v>
      </c>
      <c r="N159" s="32">
        <f t="shared" si="85"/>
        <v>1.1235955056179775E-2</v>
      </c>
      <c r="O159" s="18">
        <f>IF(ISNUMBER(M159), $B172 * N159, "")</f>
        <v>3370.7865168539324</v>
      </c>
      <c r="Q159" s="275"/>
      <c r="R159" s="275"/>
      <c r="S159" s="275"/>
    </row>
    <row r="160" spans="1:19" ht="17.25" thickBot="1">
      <c r="A160" s="17" t="s">
        <v>260</v>
      </c>
      <c r="B160" s="15">
        <v>134</v>
      </c>
      <c r="C160" s="32">
        <v>0</v>
      </c>
      <c r="D160" s="15">
        <v>137</v>
      </c>
      <c r="E160" s="32">
        <f t="shared" si="82"/>
        <v>2.2388059701492536E-2</v>
      </c>
      <c r="F160" s="18">
        <f>IF(ISNUMBER(D160), $B172 * E160, "")</f>
        <v>6716.4179104477607</v>
      </c>
      <c r="G160" s="31">
        <v>136</v>
      </c>
      <c r="H160" s="32">
        <f t="shared" si="83"/>
        <v>1.4925373134328358E-2</v>
      </c>
      <c r="I160" s="97">
        <f>IF(ISNUMBER(G160), $B172 * H160, "")</f>
        <v>4477.6119402985078</v>
      </c>
      <c r="J160" s="15">
        <v>136</v>
      </c>
      <c r="K160" s="32">
        <f t="shared" si="84"/>
        <v>1.4925373134328358E-2</v>
      </c>
      <c r="L160" s="18">
        <f>IF(ISNUMBER(J160), $B172 * K160, "")</f>
        <v>4477.6119402985078</v>
      </c>
      <c r="M160" s="31">
        <v>135</v>
      </c>
      <c r="N160" s="32">
        <f t="shared" si="85"/>
        <v>7.462686567164179E-3</v>
      </c>
      <c r="O160" s="18">
        <f>IF(ISNUMBER(M160), $B172 * N160, "")</f>
        <v>2238.8059701492539</v>
      </c>
      <c r="Q160" s="33"/>
      <c r="R160" s="33"/>
    </row>
    <row r="161" spans="1:19" ht="17.25" thickBot="1">
      <c r="A161" s="23" t="s">
        <v>230</v>
      </c>
      <c r="B161" s="24">
        <v>182</v>
      </c>
      <c r="C161" s="25">
        <v>0</v>
      </c>
      <c r="D161" s="24">
        <v>182</v>
      </c>
      <c r="E161" s="25">
        <f t="shared" si="82"/>
        <v>0</v>
      </c>
      <c r="F161" s="100">
        <f>IF(ISNUMBER(D161), $B172 * E161, "")</f>
        <v>0</v>
      </c>
      <c r="G161" s="98">
        <v>182</v>
      </c>
      <c r="H161" s="25">
        <f t="shared" si="83"/>
        <v>0</v>
      </c>
      <c r="I161" s="99">
        <f>IF(ISNUMBER(G161), $B172 * H161, "")</f>
        <v>0</v>
      </c>
      <c r="J161" s="24">
        <v>185</v>
      </c>
      <c r="K161" s="25">
        <f t="shared" si="84"/>
        <v>1.6483516483516484E-2</v>
      </c>
      <c r="L161" s="100">
        <f>IF(ISNUMBER(J161), $B172 * K161, "")</f>
        <v>4945.0549450549452</v>
      </c>
      <c r="M161" s="98">
        <v>186</v>
      </c>
      <c r="N161" s="25">
        <f t="shared" si="85"/>
        <v>2.197802197802198E-2</v>
      </c>
      <c r="O161" s="100">
        <f>IF(ISNUMBER(M161), $B172 * N161, "")</f>
        <v>6593.4065934065939</v>
      </c>
      <c r="Q161" s="284"/>
      <c r="R161" s="285"/>
      <c r="S161" s="286"/>
    </row>
    <row r="162" spans="1:19">
      <c r="A162" s="12" t="s">
        <v>238</v>
      </c>
      <c r="B162" s="13">
        <v>311</v>
      </c>
      <c r="C162" s="14">
        <v>-3.2051281999999999E-3</v>
      </c>
      <c r="D162" s="13">
        <v>317</v>
      </c>
      <c r="E162" s="14">
        <f>IF(ISNUMBER(D162), (D162 - $B162) / $B162, "")</f>
        <v>1.9292604501607719E-2</v>
      </c>
      <c r="F162" s="16">
        <f>IF(ISNUMBER(D162), $B172 * E162, "")</f>
        <v>5787.7813504823152</v>
      </c>
      <c r="G162" s="29">
        <v>314</v>
      </c>
      <c r="H162" s="14">
        <f>IF(ISNUMBER(G162), (G162 - $B162) / $B162, "")</f>
        <v>9.6463022508038593E-3</v>
      </c>
      <c r="I162" s="96">
        <f>IF(ISNUMBER(G162), $B172 * H162, "")</f>
        <v>2893.8906752411576</v>
      </c>
      <c r="J162" s="13">
        <v>315</v>
      </c>
      <c r="K162" s="14">
        <f>IF(ISNUMBER(J162), (J162 - $B162) / $B162, "")</f>
        <v>1.2861736334405145E-2</v>
      </c>
      <c r="L162" s="16">
        <f>IF(ISNUMBER(J162), $B172 * K162, "")</f>
        <v>3858.5209003215432</v>
      </c>
      <c r="M162" s="29">
        <v>315</v>
      </c>
      <c r="N162" s="14">
        <f>IF(ISNUMBER(M162), (M162 - $B162) / $B162, "")</f>
        <v>1.2861736334405145E-2</v>
      </c>
      <c r="O162" s="16">
        <f>IF(ISNUMBER(M162), $B172 * N162, "")</f>
        <v>3858.5209003215432</v>
      </c>
      <c r="Q162" s="287"/>
      <c r="R162" s="288"/>
      <c r="S162" s="289"/>
    </row>
    <row r="163" spans="1:19" ht="17.25" thickBot="1">
      <c r="A163" s="17" t="s">
        <v>250</v>
      </c>
      <c r="B163" s="15">
        <v>226</v>
      </c>
      <c r="C163" s="32">
        <v>-4.4052863000000001E-3</v>
      </c>
      <c r="D163" s="15">
        <v>257</v>
      </c>
      <c r="E163" s="32">
        <f t="shared" ref="E163:E166" si="86">IF(ISNUMBER(D163), (D163 - $B163) / $B163, "")</f>
        <v>0.13716814159292035</v>
      </c>
      <c r="F163" s="18">
        <f>IF(ISNUMBER(D163), $B172 * E163, "")</f>
        <v>41150.442477876102</v>
      </c>
      <c r="G163" s="31">
        <v>257</v>
      </c>
      <c r="H163" s="32">
        <f t="shared" ref="H163:H166" si="87">IF(ISNUMBER(G163), (G163 - $B163) / $B163, "")</f>
        <v>0.13716814159292035</v>
      </c>
      <c r="I163" s="97">
        <f>IF(ISNUMBER(G163), $B172 * H163, "")</f>
        <v>41150.442477876102</v>
      </c>
      <c r="J163" s="15">
        <v>262</v>
      </c>
      <c r="K163" s="32">
        <f t="shared" ref="K163:K166" si="88">IF(ISNUMBER(J163), (J163 - $B163) / $B163, "")</f>
        <v>0.15929203539823009</v>
      </c>
      <c r="L163" s="18">
        <f>IF(ISNUMBER(J163), $B172 * K163, "")</f>
        <v>47787.610619469029</v>
      </c>
      <c r="M163" s="31">
        <v>255</v>
      </c>
      <c r="N163" s="32">
        <f t="shared" ref="N163:N166" si="89">IF(ISNUMBER(M163), (M163 - $B163) / $B163, "")</f>
        <v>0.12831858407079647</v>
      </c>
      <c r="O163" s="18">
        <f>IF(ISNUMBER(M163), $B172 * N163, "")</f>
        <v>38495.575221238942</v>
      </c>
      <c r="Q163" s="290"/>
      <c r="R163" s="291"/>
      <c r="S163" s="292"/>
    </row>
    <row r="164" spans="1:19" ht="17.25" thickBot="1">
      <c r="A164" s="17" t="s">
        <v>88</v>
      </c>
      <c r="B164" s="15">
        <v>667</v>
      </c>
      <c r="C164" s="32">
        <v>-4.4776119000000001E-3</v>
      </c>
      <c r="D164" s="15">
        <v>661</v>
      </c>
      <c r="E164" s="32">
        <f t="shared" si="86"/>
        <v>-8.9955022488755615E-3</v>
      </c>
      <c r="F164" s="18">
        <f>IF(ISNUMBER(D164), $B172 * E164, "")</f>
        <v>-2698.6506746626683</v>
      </c>
      <c r="G164" s="31">
        <v>657</v>
      </c>
      <c r="H164" s="32">
        <f t="shared" si="87"/>
        <v>-1.4992503748125937E-2</v>
      </c>
      <c r="I164" s="97">
        <f>IF(ISNUMBER(G164), $B172 * H164, "")</f>
        <v>-4497.7511244377811</v>
      </c>
      <c r="J164" s="15">
        <v>660</v>
      </c>
      <c r="K164" s="32">
        <f t="shared" si="88"/>
        <v>-1.0494752623688156E-2</v>
      </c>
      <c r="L164" s="18">
        <f>IF(ISNUMBER(J164), $B172 * K164, "")</f>
        <v>-3148.4257871064469</v>
      </c>
      <c r="M164" s="31">
        <v>653</v>
      </c>
      <c r="N164" s="32">
        <f t="shared" si="89"/>
        <v>-2.0989505247376312E-2</v>
      </c>
      <c r="O164" s="18">
        <f>IF(ISNUMBER(M164), $B172 * N164, "")</f>
        <v>-6296.8515742128939</v>
      </c>
      <c r="Q164" s="275"/>
      <c r="R164" s="275"/>
      <c r="S164" s="275"/>
    </row>
    <row r="165" spans="1:19" ht="17.25" thickBot="1">
      <c r="A165" s="17" t="s">
        <v>202</v>
      </c>
      <c r="B165" s="15">
        <v>215</v>
      </c>
      <c r="C165" s="32">
        <v>-4.6296295999999999E-3</v>
      </c>
      <c r="D165" s="15">
        <v>219</v>
      </c>
      <c r="E165" s="32">
        <f t="shared" si="86"/>
        <v>1.8604651162790697E-2</v>
      </c>
      <c r="F165" s="18">
        <f>IF(ISNUMBER(D165), $B172 * E165, "")</f>
        <v>5581.395348837209</v>
      </c>
      <c r="G165" s="31">
        <v>216</v>
      </c>
      <c r="H165" s="32">
        <f t="shared" si="87"/>
        <v>4.6511627906976744E-3</v>
      </c>
      <c r="I165" s="97">
        <f>IF(ISNUMBER(G165), $B172 * H165, "")</f>
        <v>1395.3488372093022</v>
      </c>
      <c r="J165" s="15">
        <v>219</v>
      </c>
      <c r="K165" s="32">
        <f t="shared" si="88"/>
        <v>1.8604651162790697E-2</v>
      </c>
      <c r="L165" s="18">
        <f>IF(ISNUMBER(J165), $B172 * K165, "")</f>
        <v>5581.395348837209</v>
      </c>
      <c r="M165" s="31">
        <v>219</v>
      </c>
      <c r="N165" s="32">
        <f t="shared" si="89"/>
        <v>1.8604651162790697E-2</v>
      </c>
      <c r="O165" s="18">
        <f>IF(ISNUMBER(M165), $B172 * N165, "")</f>
        <v>5581.395348837209</v>
      </c>
      <c r="Q165" s="270"/>
      <c r="R165" s="270"/>
      <c r="S165" s="270"/>
    </row>
    <row r="166" spans="1:19" ht="17.25" thickBot="1">
      <c r="A166" s="19" t="s">
        <v>240</v>
      </c>
      <c r="B166" s="20">
        <v>209</v>
      </c>
      <c r="C166" s="21">
        <v>-4.7619048000000002E-3</v>
      </c>
      <c r="D166" s="20">
        <v>208</v>
      </c>
      <c r="E166" s="21">
        <f t="shared" si="86"/>
        <v>-4.7846889952153108E-3</v>
      </c>
      <c r="F166" s="22">
        <f>IF(ISNUMBER(D166), $B172 * E166, "")</f>
        <v>-1435.4066985645932</v>
      </c>
      <c r="G166" s="30">
        <v>208</v>
      </c>
      <c r="H166" s="21">
        <f t="shared" si="87"/>
        <v>-4.7846889952153108E-3</v>
      </c>
      <c r="I166" s="101">
        <f>IF(ISNUMBER(G166), $B172 * H166, "")</f>
        <v>-1435.4066985645932</v>
      </c>
      <c r="J166" s="20">
        <v>210</v>
      </c>
      <c r="K166" s="21">
        <f t="shared" si="88"/>
        <v>4.7846889952153108E-3</v>
      </c>
      <c r="L166" s="22">
        <f>IF(ISNUMBER(J166), $B172 * K166, "")</f>
        <v>1435.4066985645932</v>
      </c>
      <c r="M166" s="30">
        <v>214</v>
      </c>
      <c r="N166" s="21">
        <f t="shared" si="89"/>
        <v>2.3923444976076555E-2</v>
      </c>
      <c r="O166" s="22">
        <f>IF(ISNUMBER(M166), $B172 * N166, "")</f>
        <v>7177.0334928229668</v>
      </c>
      <c r="Q166" s="270"/>
      <c r="R166" s="270"/>
      <c r="S166" s="270"/>
    </row>
    <row r="167" spans="1:19" ht="17.25" thickBot="1">
      <c r="A167" s="17" t="s">
        <v>258</v>
      </c>
      <c r="B167" s="102">
        <v>751</v>
      </c>
      <c r="C167" s="103">
        <v>-7.9260237999999993E-3</v>
      </c>
      <c r="D167" s="102">
        <v>747</v>
      </c>
      <c r="E167" s="103">
        <f>IF(ISNUMBER(D167), (D167 - $B167) / $B167, "")</f>
        <v>-5.3262316910785623E-3</v>
      </c>
      <c r="F167" s="104">
        <f>IF(ISNUMBER(D167), $B172 * E167, "")</f>
        <v>-1597.8695073235688</v>
      </c>
      <c r="G167" s="105">
        <v>746</v>
      </c>
      <c r="H167" s="103">
        <f>IF(ISNUMBER(G167), (G167 - $B167) / $B167, "")</f>
        <v>-6.6577896138482022E-3</v>
      </c>
      <c r="I167" s="106">
        <f>IF(ISNUMBER(G167), $B172 * H167, "")</f>
        <v>-1997.3368841544607</v>
      </c>
      <c r="J167" s="102">
        <v>748</v>
      </c>
      <c r="K167" s="103">
        <f>IF(ISNUMBER(J167), (J167 - $B167) / $B167, "")</f>
        <v>-3.9946737683089215E-3</v>
      </c>
      <c r="L167" s="104">
        <f>IF(ISNUMBER(J167), $B172 * K167, "")</f>
        <v>-1198.4021304926764</v>
      </c>
      <c r="M167" s="105">
        <v>751</v>
      </c>
      <c r="N167" s="103">
        <f>IF(ISNUMBER(M167), (M167 - $B167) / $B167, "")</f>
        <v>0</v>
      </c>
      <c r="O167" s="104">
        <f>IF(ISNUMBER(M167), $B172 * N167, "")</f>
        <v>0</v>
      </c>
      <c r="Q167" s="275"/>
      <c r="R167" s="275"/>
      <c r="S167" s="275"/>
    </row>
    <row r="168" spans="1:19" ht="17.25" thickBot="1">
      <c r="A168" s="17" t="s">
        <v>246</v>
      </c>
      <c r="B168" s="15">
        <v>438</v>
      </c>
      <c r="C168" s="32">
        <v>-9.0497738000000008E-3</v>
      </c>
      <c r="D168" s="15">
        <v>443</v>
      </c>
      <c r="E168" s="32">
        <f t="shared" ref="E168:E171" si="90">IF(ISNUMBER(D168), (D168 - $B168) / $B168, "")</f>
        <v>1.1415525114155251E-2</v>
      </c>
      <c r="F168" s="18">
        <f>IF(ISNUMBER(D168), $B172 * E168, "")</f>
        <v>3424.6575342465753</v>
      </c>
      <c r="G168" s="31">
        <v>441</v>
      </c>
      <c r="H168" s="32">
        <f t="shared" ref="H168:H171" si="91">IF(ISNUMBER(G168), (G168 - $B168) / $B168, "")</f>
        <v>6.8493150684931503E-3</v>
      </c>
      <c r="I168" s="97">
        <f>IF(ISNUMBER(G168), $B172 * H168, "")</f>
        <v>2054.794520547945</v>
      </c>
      <c r="J168" s="15">
        <v>444</v>
      </c>
      <c r="K168" s="32">
        <f t="shared" ref="K168:K171" si="92">IF(ISNUMBER(J168), (J168 - $B168) / $B168, "")</f>
        <v>1.3698630136986301E-2</v>
      </c>
      <c r="L168" s="18">
        <f>IF(ISNUMBER(J168), $B172 * K168, "")</f>
        <v>4109.58904109589</v>
      </c>
      <c r="M168" s="31">
        <v>444</v>
      </c>
      <c r="N168" s="32">
        <f t="shared" ref="N168:N171" si="93">IF(ISNUMBER(M168), (M168 - $B168) / $B168, "")</f>
        <v>1.3698630136986301E-2</v>
      </c>
      <c r="O168" s="18">
        <f>IF(ISNUMBER(M168), $B172 * N168, "")</f>
        <v>4109.58904109589</v>
      </c>
      <c r="Q168" s="275"/>
      <c r="R168" s="275"/>
      <c r="S168" s="275"/>
    </row>
    <row r="169" spans="1:19" ht="17.25" thickBot="1">
      <c r="A169" s="17" t="s">
        <v>270</v>
      </c>
      <c r="B169" s="15">
        <v>531</v>
      </c>
      <c r="C169" s="32">
        <v>-1.30111524E-2</v>
      </c>
      <c r="D169" s="15">
        <v>546</v>
      </c>
      <c r="E169" s="32">
        <f t="shared" si="90"/>
        <v>2.8248587570621469E-2</v>
      </c>
      <c r="F169" s="18">
        <f>IF(ISNUMBER(D169), $B172 * E169, "")</f>
        <v>8474.5762711864409</v>
      </c>
      <c r="G169" s="31">
        <v>541</v>
      </c>
      <c r="H169" s="32">
        <f t="shared" si="91"/>
        <v>1.8832391713747645E-2</v>
      </c>
      <c r="I169" s="97">
        <f>IF(ISNUMBER(G169), $B172 * H169, "")</f>
        <v>5649.7175141242933</v>
      </c>
      <c r="J169" s="15">
        <v>548</v>
      </c>
      <c r="K169" s="32">
        <f t="shared" si="92"/>
        <v>3.2015065913370999E-2</v>
      </c>
      <c r="L169" s="18">
        <f>IF(ISNUMBER(J169), $B172 * K169, "")</f>
        <v>9604.5197740112999</v>
      </c>
      <c r="M169" s="31">
        <v>544</v>
      </c>
      <c r="N169" s="32">
        <f t="shared" si="93"/>
        <v>2.4482109227871938E-2</v>
      </c>
      <c r="O169" s="18">
        <f>IF(ISNUMBER(M169), $B172 * N169, "")</f>
        <v>7344.6327683615818</v>
      </c>
      <c r="Q169" s="275"/>
      <c r="R169" s="275"/>
      <c r="S169" s="275"/>
    </row>
    <row r="170" spans="1:19">
      <c r="A170" s="17" t="s">
        <v>170</v>
      </c>
      <c r="B170" s="15">
        <v>524</v>
      </c>
      <c r="C170" s="32">
        <v>-1.5037594E-2</v>
      </c>
      <c r="D170" s="15">
        <v>526</v>
      </c>
      <c r="E170" s="32">
        <f t="shared" si="90"/>
        <v>3.8167938931297708E-3</v>
      </c>
      <c r="F170" s="18">
        <f>IF(ISNUMBER(D170), $B172 * E170, "")</f>
        <v>1145.0381679389313</v>
      </c>
      <c r="G170" s="31">
        <v>526</v>
      </c>
      <c r="H170" s="32">
        <f t="shared" si="91"/>
        <v>3.8167938931297708E-3</v>
      </c>
      <c r="I170" s="97">
        <f>IF(ISNUMBER(G170), $B172 * H170, "")</f>
        <v>1145.0381679389313</v>
      </c>
      <c r="J170" s="15">
        <v>530</v>
      </c>
      <c r="K170" s="32">
        <f t="shared" si="92"/>
        <v>1.1450381679389313E-2</v>
      </c>
      <c r="L170" s="18">
        <f>IF(ISNUMBER(J170), $B172 * K170, "")</f>
        <v>3435.1145038167938</v>
      </c>
      <c r="M170" s="31">
        <v>530</v>
      </c>
      <c r="N170" s="32">
        <f t="shared" si="93"/>
        <v>1.1450381679389313E-2</v>
      </c>
      <c r="O170" s="18">
        <f>IF(ISNUMBER(M170), $B172 * N170, "")</f>
        <v>3435.1145038167938</v>
      </c>
      <c r="Q170" s="297"/>
      <c r="R170" s="298"/>
      <c r="S170" s="299"/>
    </row>
    <row r="171" spans="1:19" ht="17.25" thickBot="1">
      <c r="A171" s="23" t="s">
        <v>252</v>
      </c>
      <c r="B171" s="24">
        <v>585</v>
      </c>
      <c r="C171" s="25">
        <v>-2.0100502499999999E-2</v>
      </c>
      <c r="D171" s="24">
        <v>587</v>
      </c>
      <c r="E171" s="25">
        <f t="shared" si="90"/>
        <v>3.4188034188034188E-3</v>
      </c>
      <c r="F171" s="100">
        <f>IF(ISNUMBER(D171), $B172 * E171, "")</f>
        <v>1025.6410256410256</v>
      </c>
      <c r="G171" s="98">
        <v>588</v>
      </c>
      <c r="H171" s="25">
        <f t="shared" si="91"/>
        <v>5.1282051282051282E-3</v>
      </c>
      <c r="I171" s="99">
        <f>IF(ISNUMBER(G171), $B172 * H171, "")</f>
        <v>1538.4615384615386</v>
      </c>
      <c r="J171" s="24">
        <v>589</v>
      </c>
      <c r="K171" s="25">
        <f t="shared" si="92"/>
        <v>6.8376068376068376E-3</v>
      </c>
      <c r="L171" s="100">
        <f>IF(ISNUMBER(J171), $B172 * K171, "")</f>
        <v>2051.2820512820513</v>
      </c>
      <c r="M171" s="98">
        <v>589</v>
      </c>
      <c r="N171" s="25">
        <f t="shared" si="93"/>
        <v>6.8376068376068376E-3</v>
      </c>
      <c r="O171" s="100">
        <f>IF(ISNUMBER(M171), $B172 * N171, "")</f>
        <v>2051.2820512820513</v>
      </c>
      <c r="Q171" s="300"/>
      <c r="R171" s="301"/>
      <c r="S171" s="302"/>
    </row>
    <row r="172" spans="1:19" ht="17.25" thickBot="1">
      <c r="A172" s="26" t="s">
        <v>301</v>
      </c>
      <c r="B172" s="306">
        <f>$B$37</f>
        <v>300000</v>
      </c>
      <c r="C172" s="307"/>
      <c r="D172" s="26" t="s">
        <v>302</v>
      </c>
      <c r="E172" s="27">
        <f>IF(COUNT(E152:E171), SUM(E152:E171) / COUNT(E152:E171), 0)</f>
        <v>2.0773967979060941E-2</v>
      </c>
      <c r="F172" s="28">
        <f>SUM(F152:F171)</f>
        <v>124643.80787436568</v>
      </c>
      <c r="G172" s="26" t="s">
        <v>302</v>
      </c>
      <c r="H172" s="27">
        <f>IF(COUNT(H152:H171), SUM(H152:H171) / COUNT(H152:H171), 0)</f>
        <v>1.7568852752985451E-2</v>
      </c>
      <c r="I172" s="28">
        <f>SUM(I152:I171)</f>
        <v>105413.11651791273</v>
      </c>
      <c r="J172" s="26" t="s">
        <v>302</v>
      </c>
      <c r="K172" s="27">
        <f>IF(COUNT(K152:K171), SUM(K152:K171) / COUNT(K152:K171), 0)</f>
        <v>2.7286329169536477E-2</v>
      </c>
      <c r="L172" s="28">
        <f>SUM(L152:L171)</f>
        <v>163717.97501721897</v>
      </c>
      <c r="M172" s="26" t="s">
        <v>302</v>
      </c>
      <c r="N172" s="27">
        <f>IF(COUNT(N152:N171), SUM(N152:N171) / COUNT(N152:N171), 0)</f>
        <v>2.6316972182553383E-2</v>
      </c>
      <c r="O172" s="28">
        <f>SUM(O152:O171)</f>
        <v>157901.8330953203</v>
      </c>
      <c r="Q172" s="303"/>
      <c r="R172" s="304"/>
      <c r="S172" s="305"/>
    </row>
    <row r="174" spans="1:19" ht="17.25" thickBot="1"/>
    <row r="175" spans="1:19" ht="17.25" thickBot="1">
      <c r="A175" s="249" t="s">
        <v>285</v>
      </c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50"/>
      <c r="M175" s="250"/>
      <c r="N175" s="250"/>
      <c r="O175" s="251"/>
      <c r="Q175" s="270"/>
      <c r="R175" s="270"/>
      <c r="S175" s="270"/>
    </row>
    <row r="176" spans="1:19" ht="17.25" thickBot="1">
      <c r="A176" s="107" t="s">
        <v>298</v>
      </c>
      <c r="B176" s="249" t="s">
        <v>49</v>
      </c>
      <c r="C176" s="251"/>
      <c r="D176" s="249" t="s">
        <v>58</v>
      </c>
      <c r="E176" s="250"/>
      <c r="F176" s="251"/>
      <c r="G176" s="276">
        <f>_xlfn.IFNA(VLOOKUP(B176, 현재가테이블!$B$2:$D$200, 2, FALSE), "-")</f>
        <v>60874000</v>
      </c>
      <c r="H176" s="277"/>
      <c r="I176" s="278"/>
      <c r="J176" s="249" t="s">
        <v>59</v>
      </c>
      <c r="K176" s="250"/>
      <c r="L176" s="251"/>
      <c r="M176" s="279">
        <f>_xlfn.IFNA(VLOOKUP(B176, 현재가테이블!$B$2:$D$200, 3, FALSE), "-")</f>
        <v>-1.4936000099999999E-2</v>
      </c>
      <c r="N176" s="280"/>
      <c r="O176" s="281"/>
      <c r="Q176" s="270"/>
      <c r="R176" s="270"/>
      <c r="S176" s="270"/>
    </row>
    <row r="177" spans="1:19" ht="17.25" thickBot="1">
      <c r="A177" s="293" t="s">
        <v>55</v>
      </c>
      <c r="B177" s="295" t="str">
        <f>TEXT($G$1, "[$-ko-KR]yyyy-mm-dd(ddd) ") &amp; "오전 00:00"</f>
        <v>2021-05-01(토) 오전 00:00</v>
      </c>
      <c r="C177" s="296"/>
      <c r="D177" s="272" t="str">
        <f>TEXT($G$1, "[$-ko-KR]yyyy-mm-dd(ddd) ") &amp; "오후 14:00"</f>
        <v>2021-05-01(토) 오후 14:00</v>
      </c>
      <c r="E177" s="273"/>
      <c r="F177" s="274"/>
      <c r="G177" s="272" t="str">
        <f>TEXT($G$1, "[$-ko-KR]yyyy-mm-dd(ddd) ") &amp; "오후 19:00"</f>
        <v>2021-05-01(토) 오후 19:00</v>
      </c>
      <c r="H177" s="273"/>
      <c r="I177" s="274"/>
      <c r="J177" s="272" t="str">
        <f>TEXT($G$1, "[$-ko-KR]yyyy-mm-dd(ddd) ") &amp; "오후 21:00"</f>
        <v>2021-05-01(토) 오후 21:00</v>
      </c>
      <c r="K177" s="273"/>
      <c r="L177" s="274"/>
      <c r="M177" s="272" t="str">
        <f>TEXT($G$1+1, "[$-ko-KR]yyyy-mm-dd(ddd) ") &amp; "오전 00:00"</f>
        <v>2021-05-02(일) 오전 00:00</v>
      </c>
      <c r="N177" s="273"/>
      <c r="O177" s="274"/>
      <c r="Q177" s="270"/>
      <c r="R177" s="270"/>
      <c r="S177" s="270"/>
    </row>
    <row r="178" spans="1:19" ht="17.25" thickBot="1">
      <c r="A178" s="294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75"/>
      <c r="R178" s="275"/>
      <c r="S178" s="275"/>
    </row>
    <row r="179" spans="1:19" ht="17.25" thickBot="1">
      <c r="A179" s="12" t="s">
        <v>276</v>
      </c>
      <c r="B179" s="13">
        <v>4235</v>
      </c>
      <c r="C179" s="14">
        <v>-5.8685446E-3</v>
      </c>
      <c r="D179" s="13">
        <v>4225</v>
      </c>
      <c r="E179" s="14">
        <f>IF(ISNUMBER(D179), (D179 - $B179) / $B179, "")</f>
        <v>-2.3612750885478157E-3</v>
      </c>
      <c r="F179" s="16">
        <f>IF(ISNUMBER(D179), $B199 * E179, "")</f>
        <v>-708.38252656434474</v>
      </c>
      <c r="G179" s="29">
        <v>4200</v>
      </c>
      <c r="H179" s="14">
        <f>IF(ISNUMBER(G179), (G179 - $B179) / $B179, "")</f>
        <v>-8.2644628099173556E-3</v>
      </c>
      <c r="I179" s="96">
        <f>IF(ISNUMBER(G179), $B199 * H179, "")</f>
        <v>-2479.3388429752067</v>
      </c>
      <c r="J179" s="13">
        <v>4240</v>
      </c>
      <c r="K179" s="14">
        <f>IF(ISNUMBER(J179), (J179 - $B179) / $B179, "")</f>
        <v>1.1806375442739079E-3</v>
      </c>
      <c r="L179" s="16">
        <f>IF(ISNUMBER(J179), $B199 * K179, "")</f>
        <v>354.19126328217237</v>
      </c>
      <c r="M179" s="29">
        <v>4225</v>
      </c>
      <c r="N179" s="14">
        <f>IF(ISNUMBER(M179), (M179 - $B179) / $B179, "")</f>
        <v>-2.3612750885478157E-3</v>
      </c>
      <c r="O179" s="16">
        <f>IF(ISNUMBER(M179), $B199 * N179, "")</f>
        <v>-708.38252656434474</v>
      </c>
      <c r="Q179" s="270"/>
      <c r="R179" s="270"/>
      <c r="S179" s="270"/>
    </row>
    <row r="180" spans="1:19" ht="17.25" thickBot="1">
      <c r="A180" s="17" t="s">
        <v>218</v>
      </c>
      <c r="B180" s="15">
        <v>31.8</v>
      </c>
      <c r="C180" s="32">
        <v>-6.2500000000000003E-3</v>
      </c>
      <c r="D180" s="15">
        <v>32.1</v>
      </c>
      <c r="E180" s="32">
        <f t="shared" ref="E180:E183" si="94">IF(ISNUMBER(D180), (D180 - $B180) / $B180, "")</f>
        <v>9.4339622641509656E-3</v>
      </c>
      <c r="F180" s="18">
        <f>IF(ISNUMBER(D180), $B199 * E180, "")</f>
        <v>2830.1886792452897</v>
      </c>
      <c r="G180" s="31">
        <v>32</v>
      </c>
      <c r="H180" s="32">
        <f t="shared" ref="H180:H183" si="95">IF(ISNUMBER(G180), (G180 - $B180) / $B180, "")</f>
        <v>6.2893081761006067E-3</v>
      </c>
      <c r="I180" s="97">
        <f>IF(ISNUMBER(G180), $B199 * H180, "")</f>
        <v>1886.7924528301821</v>
      </c>
      <c r="J180" s="15">
        <v>32.1</v>
      </c>
      <c r="K180" s="32">
        <f t="shared" ref="K180:K183" si="96">IF(ISNUMBER(J180), (J180 - $B180) / $B180, "")</f>
        <v>9.4339622641509656E-3</v>
      </c>
      <c r="L180" s="18">
        <f>IF(ISNUMBER(J180), $B199 * K180, "")</f>
        <v>2830.1886792452897</v>
      </c>
      <c r="M180" s="31">
        <v>32.1</v>
      </c>
      <c r="N180" s="32">
        <f t="shared" ref="N180:N183" si="97">IF(ISNUMBER(M180), (M180 - $B180) / $B180, "")</f>
        <v>9.4339622641509656E-3</v>
      </c>
      <c r="O180" s="18">
        <f>IF(ISNUMBER(M180), $B199 * N180, "")</f>
        <v>2830.1886792452897</v>
      </c>
      <c r="Q180" s="270"/>
      <c r="R180" s="270"/>
      <c r="S180" s="270"/>
    </row>
    <row r="181" spans="1:19" ht="17.25" thickBot="1">
      <c r="A181" s="17" t="s">
        <v>248</v>
      </c>
      <c r="B181" s="15">
        <v>3320</v>
      </c>
      <c r="C181" s="32">
        <v>-7.4738416000000004E-3</v>
      </c>
      <c r="D181" s="15">
        <v>3380</v>
      </c>
      <c r="E181" s="32">
        <f t="shared" si="94"/>
        <v>1.8072289156626505E-2</v>
      </c>
      <c r="F181" s="18">
        <f>IF(ISNUMBER(D181), $B199 * E181, "")</f>
        <v>5421.6867469879517</v>
      </c>
      <c r="G181" s="31">
        <v>3335</v>
      </c>
      <c r="H181" s="32">
        <f t="shared" si="95"/>
        <v>4.5180722891566263E-3</v>
      </c>
      <c r="I181" s="97">
        <f>IF(ISNUMBER(G181), $B199 * H181, "")</f>
        <v>1355.4216867469879</v>
      </c>
      <c r="J181" s="15">
        <v>3360</v>
      </c>
      <c r="K181" s="32">
        <f t="shared" si="96"/>
        <v>1.2048192771084338E-2</v>
      </c>
      <c r="L181" s="18">
        <f>IF(ISNUMBER(J181), $B199 * K181, "")</f>
        <v>3614.4578313253014</v>
      </c>
      <c r="M181" s="31">
        <v>3335</v>
      </c>
      <c r="N181" s="32">
        <f t="shared" si="97"/>
        <v>4.5180722891566263E-3</v>
      </c>
      <c r="O181" s="18">
        <f>IF(ISNUMBER(M181), $B199 * N181, "")</f>
        <v>1355.4216867469879</v>
      </c>
      <c r="Q181" s="275"/>
      <c r="R181" s="275"/>
      <c r="S181" s="275"/>
    </row>
    <row r="182" spans="1:19" ht="17.25" thickBot="1">
      <c r="A182" s="17" t="s">
        <v>258</v>
      </c>
      <c r="B182" s="15">
        <v>751</v>
      </c>
      <c r="C182" s="32">
        <v>-7.9260237999999993E-3</v>
      </c>
      <c r="D182" s="15">
        <v>747</v>
      </c>
      <c r="E182" s="32">
        <f t="shared" si="94"/>
        <v>-5.3262316910785623E-3</v>
      </c>
      <c r="F182" s="18">
        <f>IF(ISNUMBER(D182), $B199 * E182, "")</f>
        <v>-1597.8695073235688</v>
      </c>
      <c r="G182" s="31">
        <v>746</v>
      </c>
      <c r="H182" s="32">
        <f t="shared" si="95"/>
        <v>-6.6577896138482022E-3</v>
      </c>
      <c r="I182" s="97">
        <f>IF(ISNUMBER(G182), $B199 * H182, "")</f>
        <v>-1997.3368841544607</v>
      </c>
      <c r="J182" s="15">
        <v>748</v>
      </c>
      <c r="K182" s="32">
        <f t="shared" si="96"/>
        <v>-3.9946737683089215E-3</v>
      </c>
      <c r="L182" s="18">
        <f>IF(ISNUMBER(J182), $B199 * K182, "")</f>
        <v>-1198.4021304926764</v>
      </c>
      <c r="M182" s="31">
        <v>751</v>
      </c>
      <c r="N182" s="32">
        <f t="shared" si="97"/>
        <v>0</v>
      </c>
      <c r="O182" s="18">
        <f>IF(ISNUMBER(M182), $B199 * N182, "")</f>
        <v>0</v>
      </c>
      <c r="Q182" s="275"/>
      <c r="R182" s="275"/>
      <c r="S182" s="275"/>
    </row>
    <row r="183" spans="1:19" ht="17.25" thickBot="1">
      <c r="A183" s="19" t="s">
        <v>274</v>
      </c>
      <c r="B183" s="20">
        <v>9250</v>
      </c>
      <c r="C183" s="21">
        <v>-8.5744909000000005E-3</v>
      </c>
      <c r="D183" s="20">
        <v>9215</v>
      </c>
      <c r="E183" s="21">
        <f t="shared" si="94"/>
        <v>-3.7837837837837837E-3</v>
      </c>
      <c r="F183" s="22">
        <f>IF(ISNUMBER(D183), $B199 * E183, "")</f>
        <v>-1135.1351351351352</v>
      </c>
      <c r="G183" s="30">
        <v>9195</v>
      </c>
      <c r="H183" s="21">
        <f t="shared" si="95"/>
        <v>-5.9459459459459459E-3</v>
      </c>
      <c r="I183" s="101">
        <f>IF(ISNUMBER(G183), $B199 * H183, "")</f>
        <v>-1783.7837837837837</v>
      </c>
      <c r="J183" s="20">
        <v>9260</v>
      </c>
      <c r="K183" s="21">
        <f t="shared" si="96"/>
        <v>1.0810810810810811E-3</v>
      </c>
      <c r="L183" s="22">
        <f>IF(ISNUMBER(J183), $B199 * K183, "")</f>
        <v>324.32432432432432</v>
      </c>
      <c r="M183" s="30">
        <v>9235</v>
      </c>
      <c r="N183" s="21">
        <f t="shared" si="97"/>
        <v>-1.6216216216216215E-3</v>
      </c>
      <c r="O183" s="22">
        <f>IF(ISNUMBER(M183), $B199 * N183, "")</f>
        <v>-486.48648648648646</v>
      </c>
      <c r="Q183" s="275"/>
      <c r="R183" s="275"/>
      <c r="S183" s="275"/>
    </row>
    <row r="184" spans="1:19" ht="17.25" thickBot="1">
      <c r="A184" s="17" t="s">
        <v>246</v>
      </c>
      <c r="B184" s="102">
        <v>438</v>
      </c>
      <c r="C184" s="103">
        <v>-9.0497738000000008E-3</v>
      </c>
      <c r="D184" s="102">
        <v>443</v>
      </c>
      <c r="E184" s="103">
        <f>IF(ISNUMBER(D184), (D184 - $B184) / $B184, "")</f>
        <v>1.1415525114155251E-2</v>
      </c>
      <c r="F184" s="104">
        <f>IF(ISNUMBER(D184), $B199 * E184, "")</f>
        <v>3424.6575342465753</v>
      </c>
      <c r="G184" s="105">
        <v>441</v>
      </c>
      <c r="H184" s="103">
        <f>IF(ISNUMBER(G184), (G184 - $B184) / $B184, "")</f>
        <v>6.8493150684931503E-3</v>
      </c>
      <c r="I184" s="106">
        <f>IF(ISNUMBER(G184), $B199 * H184, "")</f>
        <v>2054.794520547945</v>
      </c>
      <c r="J184" s="102">
        <v>444</v>
      </c>
      <c r="K184" s="103">
        <f>IF(ISNUMBER(J184), (J184 - $B184) / $B184, "")</f>
        <v>1.3698630136986301E-2</v>
      </c>
      <c r="L184" s="104">
        <f>IF(ISNUMBER(J184), $B199 * K184, "")</f>
        <v>4109.58904109589</v>
      </c>
      <c r="M184" s="105">
        <v>444</v>
      </c>
      <c r="N184" s="103">
        <f>IF(ISNUMBER(M184), (M184 - $B184) / $B184, "")</f>
        <v>1.3698630136986301E-2</v>
      </c>
      <c r="O184" s="104">
        <f>IF(ISNUMBER(M184), $B199 * N184, "")</f>
        <v>4109.58904109589</v>
      </c>
      <c r="Q184" s="275"/>
      <c r="R184" s="275"/>
      <c r="S184" s="275"/>
    </row>
    <row r="185" spans="1:19" ht="17.25" thickBot="1">
      <c r="A185" s="17" t="s">
        <v>172</v>
      </c>
      <c r="B185" s="15">
        <v>28.3</v>
      </c>
      <c r="C185" s="32">
        <v>-1.04895105E-2</v>
      </c>
      <c r="D185" s="15">
        <v>28.2</v>
      </c>
      <c r="E185" s="32">
        <f t="shared" ref="E185:E188" si="98">IF(ISNUMBER(D185), (D185 - $B185) / $B185, "")</f>
        <v>-3.5335689045936898E-3</v>
      </c>
      <c r="F185" s="18">
        <f>IF(ISNUMBER(D185), $B199 * E185, "")</f>
        <v>-1060.0706713781069</v>
      </c>
      <c r="G185" s="31">
        <v>28</v>
      </c>
      <c r="H185" s="32">
        <f t="shared" ref="H185:H188" si="99">IF(ISNUMBER(G185), (G185 - $B185) / $B185, "")</f>
        <v>-1.0600706713780944E-2</v>
      </c>
      <c r="I185" s="97">
        <f>IF(ISNUMBER(G185), $B199 * H185, "")</f>
        <v>-3180.212014134283</v>
      </c>
      <c r="J185" s="15">
        <v>28.1</v>
      </c>
      <c r="K185" s="32">
        <f t="shared" ref="K185:K188" si="100">IF(ISNUMBER(J185), (J185 - $B185) / $B185, "")</f>
        <v>-7.0671378091872539E-3</v>
      </c>
      <c r="L185" s="18">
        <f>IF(ISNUMBER(J185), $B199 * K185, "")</f>
        <v>-2120.1413427561761</v>
      </c>
      <c r="M185" s="31">
        <v>28.2</v>
      </c>
      <c r="N185" s="32">
        <f t="shared" ref="N185:N188" si="101">IF(ISNUMBER(M185), (M185 - $B185) / $B185, "")</f>
        <v>-3.5335689045936898E-3</v>
      </c>
      <c r="O185" s="18">
        <f>IF(ISNUMBER(M185), $B199 * N185, "")</f>
        <v>-1060.0706713781069</v>
      </c>
      <c r="Q185" s="275"/>
      <c r="R185" s="275"/>
      <c r="S185" s="275"/>
    </row>
    <row r="186" spans="1:19" ht="17.25" thickBot="1">
      <c r="A186" s="17" t="s">
        <v>270</v>
      </c>
      <c r="B186" s="15">
        <v>531</v>
      </c>
      <c r="C186" s="32">
        <v>-1.30111524E-2</v>
      </c>
      <c r="D186" s="15">
        <v>546</v>
      </c>
      <c r="E186" s="32">
        <f t="shared" si="98"/>
        <v>2.8248587570621469E-2</v>
      </c>
      <c r="F186" s="18">
        <f>IF(ISNUMBER(D186), $B199 * E186, "")</f>
        <v>8474.5762711864409</v>
      </c>
      <c r="G186" s="31">
        <v>541</v>
      </c>
      <c r="H186" s="32">
        <f t="shared" si="99"/>
        <v>1.8832391713747645E-2</v>
      </c>
      <c r="I186" s="97">
        <f>IF(ISNUMBER(G186), $B199 * H186, "")</f>
        <v>5649.7175141242933</v>
      </c>
      <c r="J186" s="15">
        <v>548</v>
      </c>
      <c r="K186" s="32">
        <f t="shared" si="100"/>
        <v>3.2015065913370999E-2</v>
      </c>
      <c r="L186" s="18">
        <f>IF(ISNUMBER(J186), $B199 * K186, "")</f>
        <v>9604.5197740112999</v>
      </c>
      <c r="M186" s="31">
        <v>544</v>
      </c>
      <c r="N186" s="32">
        <f t="shared" si="101"/>
        <v>2.4482109227871938E-2</v>
      </c>
      <c r="O186" s="18">
        <f>IF(ISNUMBER(M186), $B199 * N186, "")</f>
        <v>7344.6327683615818</v>
      </c>
      <c r="Q186" s="275"/>
      <c r="R186" s="275"/>
      <c r="S186" s="275"/>
    </row>
    <row r="187" spans="1:19" ht="17.25" thickBot="1">
      <c r="A187" s="17" t="s">
        <v>254</v>
      </c>
      <c r="B187" s="15">
        <v>93</v>
      </c>
      <c r="C187" s="32">
        <v>-1.4830508500000001E-2</v>
      </c>
      <c r="D187" s="15">
        <v>92.4</v>
      </c>
      <c r="E187" s="32">
        <f t="shared" si="98"/>
        <v>-6.4516129032257457E-3</v>
      </c>
      <c r="F187" s="18">
        <f>IF(ISNUMBER(D187), $B199 * E187, "")</f>
        <v>-1935.4838709677238</v>
      </c>
      <c r="G187" s="31">
        <v>92.1</v>
      </c>
      <c r="H187" s="32">
        <f t="shared" si="99"/>
        <v>-9.6774193548387708E-3</v>
      </c>
      <c r="I187" s="97">
        <f>IF(ISNUMBER(G187), $B199 * H187, "")</f>
        <v>-2903.2258064516313</v>
      </c>
      <c r="J187" s="15">
        <v>92.4</v>
      </c>
      <c r="K187" s="32">
        <f t="shared" si="100"/>
        <v>-6.4516129032257457E-3</v>
      </c>
      <c r="L187" s="18">
        <f>IF(ISNUMBER(J187), $B199 * K187, "")</f>
        <v>-1935.4838709677238</v>
      </c>
      <c r="M187" s="31">
        <v>92.4</v>
      </c>
      <c r="N187" s="32">
        <f t="shared" si="101"/>
        <v>-6.4516129032257457E-3</v>
      </c>
      <c r="O187" s="18">
        <f>IF(ISNUMBER(M187), $B199 * N187, "")</f>
        <v>-1935.4838709677238</v>
      </c>
      <c r="Q187" s="33"/>
      <c r="R187" s="33"/>
    </row>
    <row r="188" spans="1:19" ht="17.25" thickBot="1">
      <c r="A188" s="23" t="s">
        <v>170</v>
      </c>
      <c r="B188" s="24">
        <v>524</v>
      </c>
      <c r="C188" s="25">
        <v>-1.5037594E-2</v>
      </c>
      <c r="D188" s="24">
        <v>526</v>
      </c>
      <c r="E188" s="25">
        <f t="shared" si="98"/>
        <v>3.8167938931297708E-3</v>
      </c>
      <c r="F188" s="100">
        <f>IF(ISNUMBER(D188), $B199 * E188, "")</f>
        <v>1145.0381679389313</v>
      </c>
      <c r="G188" s="98">
        <v>526</v>
      </c>
      <c r="H188" s="25">
        <f t="shared" si="99"/>
        <v>3.8167938931297708E-3</v>
      </c>
      <c r="I188" s="99">
        <f>IF(ISNUMBER(G188), $B199 * H188, "")</f>
        <v>1145.0381679389313</v>
      </c>
      <c r="J188" s="24">
        <v>530</v>
      </c>
      <c r="K188" s="25">
        <f t="shared" si="100"/>
        <v>1.1450381679389313E-2</v>
      </c>
      <c r="L188" s="100">
        <f>IF(ISNUMBER(J188), $B199 * K188, "")</f>
        <v>3435.1145038167938</v>
      </c>
      <c r="M188" s="98">
        <v>530</v>
      </c>
      <c r="N188" s="25">
        <f t="shared" si="101"/>
        <v>1.1450381679389313E-2</v>
      </c>
      <c r="O188" s="100">
        <f>IF(ISNUMBER(M188), $B199 * N188, "")</f>
        <v>3435.1145038167938</v>
      </c>
      <c r="Q188" s="284"/>
      <c r="R188" s="285"/>
      <c r="S188" s="286"/>
    </row>
    <row r="189" spans="1:19">
      <c r="A189" s="12" t="s">
        <v>184</v>
      </c>
      <c r="B189" s="13">
        <v>2605</v>
      </c>
      <c r="C189" s="14">
        <v>-1.5122873300000001E-2</v>
      </c>
      <c r="D189" s="13">
        <v>2595</v>
      </c>
      <c r="E189" s="14">
        <f>IF(ISNUMBER(D189), (D189 - $B189) / $B189, "")</f>
        <v>-3.838771593090211E-3</v>
      </c>
      <c r="F189" s="16">
        <f>IF(ISNUMBER(D189), $B199 * E189, "")</f>
        <v>-1151.6314779270633</v>
      </c>
      <c r="G189" s="29">
        <v>2590</v>
      </c>
      <c r="H189" s="14">
        <f>IF(ISNUMBER(G189), (G189 - $B189) / $B189, "")</f>
        <v>-5.7581573896353169E-3</v>
      </c>
      <c r="I189" s="96">
        <f>IF(ISNUMBER(G189), $B199 * H189, "")</f>
        <v>-1727.447216890595</v>
      </c>
      <c r="J189" s="13">
        <v>2610</v>
      </c>
      <c r="K189" s="14">
        <f>IF(ISNUMBER(J189), (J189 - $B189) / $B189, "")</f>
        <v>1.9193857965451055E-3</v>
      </c>
      <c r="L189" s="16">
        <f>IF(ISNUMBER(J189), $B199 * K189, "")</f>
        <v>575.81573896353166</v>
      </c>
      <c r="M189" s="29">
        <v>2585</v>
      </c>
      <c r="N189" s="14">
        <f>IF(ISNUMBER(M189), (M189 - $B189) / $B189, "")</f>
        <v>-7.677543186180422E-3</v>
      </c>
      <c r="O189" s="16">
        <f>IF(ISNUMBER(M189), $B199 * N189, "")</f>
        <v>-2303.2629558541266</v>
      </c>
      <c r="Q189" s="287"/>
      <c r="R189" s="288"/>
      <c r="S189" s="289"/>
    </row>
    <row r="190" spans="1:19" ht="17.25" thickBot="1">
      <c r="A190" s="17" t="s">
        <v>194</v>
      </c>
      <c r="B190" s="15">
        <v>14310</v>
      </c>
      <c r="C190" s="32">
        <v>-1.6494845399999999E-2</v>
      </c>
      <c r="D190" s="15">
        <v>14420</v>
      </c>
      <c r="E190" s="32">
        <f t="shared" ref="E190:E193" si="102">IF(ISNUMBER(D190), (D190 - $B190) / $B190, "")</f>
        <v>7.6869322152341019E-3</v>
      </c>
      <c r="F190" s="18">
        <f>IF(ISNUMBER(D190), $B199 * E190, "")</f>
        <v>2306.0796645702308</v>
      </c>
      <c r="G190" s="31">
        <v>14360</v>
      </c>
      <c r="H190" s="32">
        <f t="shared" ref="H190:H193" si="103">IF(ISNUMBER(G190), (G190 - $B190) / $B190, "")</f>
        <v>3.4940600978336828E-3</v>
      </c>
      <c r="I190" s="97">
        <f>IF(ISNUMBER(G190), $B199 * H190, "")</f>
        <v>1048.2180293501049</v>
      </c>
      <c r="J190" s="15">
        <v>14500</v>
      </c>
      <c r="K190" s="32">
        <f t="shared" ref="K190:K193" si="104">IF(ISNUMBER(J190), (J190 - $B190) / $B190, "")</f>
        <v>1.3277428371767994E-2</v>
      </c>
      <c r="L190" s="18">
        <f>IF(ISNUMBER(J190), $B199 * K190, "")</f>
        <v>3983.228511530398</v>
      </c>
      <c r="M190" s="31">
        <v>14580</v>
      </c>
      <c r="N190" s="32">
        <f t="shared" ref="N190:N193" si="105">IF(ISNUMBER(M190), (M190 - $B190) / $B190, "")</f>
        <v>1.8867924528301886E-2</v>
      </c>
      <c r="O190" s="18">
        <f>IF(ISNUMBER(M190), $B199 * N190, "")</f>
        <v>5660.3773584905657</v>
      </c>
      <c r="Q190" s="290"/>
      <c r="R190" s="291"/>
      <c r="S190" s="292"/>
    </row>
    <row r="191" spans="1:19" ht="17.25" thickBot="1">
      <c r="A191" s="17" t="s">
        <v>252</v>
      </c>
      <c r="B191" s="15">
        <v>585</v>
      </c>
      <c r="C191" s="32">
        <v>-2.0100502499999999E-2</v>
      </c>
      <c r="D191" s="15">
        <v>587</v>
      </c>
      <c r="E191" s="32">
        <f t="shared" si="102"/>
        <v>3.4188034188034188E-3</v>
      </c>
      <c r="F191" s="18">
        <f>IF(ISNUMBER(D191), $B199 * E191, "")</f>
        <v>1025.6410256410256</v>
      </c>
      <c r="G191" s="31">
        <v>588</v>
      </c>
      <c r="H191" s="32">
        <f t="shared" si="103"/>
        <v>5.1282051282051282E-3</v>
      </c>
      <c r="I191" s="97">
        <f>IF(ISNUMBER(G191), $B199 * H191, "")</f>
        <v>1538.4615384615386</v>
      </c>
      <c r="J191" s="15">
        <v>589</v>
      </c>
      <c r="K191" s="32">
        <f t="shared" si="104"/>
        <v>6.8376068376068376E-3</v>
      </c>
      <c r="L191" s="18">
        <f>IF(ISNUMBER(J191), $B199 * K191, "")</f>
        <v>2051.2820512820513</v>
      </c>
      <c r="M191" s="31">
        <v>589</v>
      </c>
      <c r="N191" s="32">
        <f t="shared" si="105"/>
        <v>6.8376068376068376E-3</v>
      </c>
      <c r="O191" s="18">
        <f>IF(ISNUMBER(M191), $B199 * N191, "")</f>
        <v>2051.2820512820513</v>
      </c>
      <c r="Q191" s="275"/>
      <c r="R191" s="275"/>
      <c r="S191" s="275"/>
    </row>
    <row r="192" spans="1:19" ht="17.25" thickBot="1">
      <c r="A192" s="17" t="s">
        <v>82</v>
      </c>
      <c r="B192" s="15">
        <v>1575</v>
      </c>
      <c r="C192" s="32">
        <v>-2.1739130400000001E-2</v>
      </c>
      <c r="D192" s="15">
        <v>1585</v>
      </c>
      <c r="E192" s="32">
        <f t="shared" si="102"/>
        <v>6.3492063492063492E-3</v>
      </c>
      <c r="F192" s="18">
        <f>IF(ISNUMBER(D192), $B199 * E192, "")</f>
        <v>1904.7619047619048</v>
      </c>
      <c r="G192" s="31">
        <v>1580</v>
      </c>
      <c r="H192" s="32">
        <f t="shared" si="103"/>
        <v>3.1746031746031746E-3</v>
      </c>
      <c r="I192" s="97">
        <f>IF(ISNUMBER(G192), $B199 * H192, "")</f>
        <v>952.38095238095241</v>
      </c>
      <c r="J192" s="15">
        <v>1585</v>
      </c>
      <c r="K192" s="32">
        <f t="shared" si="104"/>
        <v>6.3492063492063492E-3</v>
      </c>
      <c r="L192" s="18">
        <f>IF(ISNUMBER(J192), $B199 * K192, "")</f>
        <v>1904.7619047619048</v>
      </c>
      <c r="M192" s="31">
        <v>1585</v>
      </c>
      <c r="N192" s="32">
        <f t="shared" si="105"/>
        <v>6.3492063492063492E-3</v>
      </c>
      <c r="O192" s="18">
        <f>IF(ISNUMBER(M192), $B199 * N192, "")</f>
        <v>1904.7619047619048</v>
      </c>
      <c r="Q192" s="270"/>
      <c r="R192" s="270"/>
      <c r="S192" s="270"/>
    </row>
    <row r="193" spans="1:19" ht="17.25" thickBot="1">
      <c r="A193" s="19" t="s">
        <v>124</v>
      </c>
      <c r="B193" s="20">
        <v>7595</v>
      </c>
      <c r="C193" s="21">
        <v>-2.31511254E-2</v>
      </c>
      <c r="D193" s="20">
        <v>7705</v>
      </c>
      <c r="E193" s="21">
        <f t="shared" si="102"/>
        <v>1.4483212639894667E-2</v>
      </c>
      <c r="F193" s="22">
        <f>IF(ISNUMBER(D193), $B199 * E193, "")</f>
        <v>4344.9637919684001</v>
      </c>
      <c r="G193" s="30">
        <v>7650</v>
      </c>
      <c r="H193" s="21">
        <f t="shared" si="103"/>
        <v>7.2416063199473336E-3</v>
      </c>
      <c r="I193" s="101">
        <f>IF(ISNUMBER(G193), $B199 * H193, "")</f>
        <v>2172.4818959842</v>
      </c>
      <c r="J193" s="20">
        <v>7730</v>
      </c>
      <c r="K193" s="21">
        <f t="shared" si="104"/>
        <v>1.7774851876234364E-2</v>
      </c>
      <c r="L193" s="22">
        <f>IF(ISNUMBER(J193), $B199 * K193, "")</f>
        <v>5332.4555628703092</v>
      </c>
      <c r="M193" s="30">
        <v>7715</v>
      </c>
      <c r="N193" s="21">
        <f t="shared" si="105"/>
        <v>1.5799868334430547E-2</v>
      </c>
      <c r="O193" s="22">
        <f>IF(ISNUMBER(M193), $B199 * N193, "")</f>
        <v>4739.9605003291645</v>
      </c>
      <c r="Q193" s="270"/>
      <c r="R193" s="270"/>
      <c r="S193" s="270"/>
    </row>
    <row r="194" spans="1:19" ht="17.25" thickBot="1">
      <c r="A194" s="17" t="s">
        <v>158</v>
      </c>
      <c r="B194" s="102">
        <v>11710</v>
      </c>
      <c r="C194" s="103">
        <v>-2.98260149E-2</v>
      </c>
      <c r="D194" s="102">
        <v>11610</v>
      </c>
      <c r="E194" s="103">
        <f>IF(ISNUMBER(D194), (D194 - $B194) / $B194, "")</f>
        <v>-8.539709649871904E-3</v>
      </c>
      <c r="F194" s="104">
        <f>IF(ISNUMBER(D194), $B199 * E194, "")</f>
        <v>-2561.9128949615711</v>
      </c>
      <c r="G194" s="105">
        <v>11460</v>
      </c>
      <c r="H194" s="103">
        <f>IF(ISNUMBER(G194), (G194 - $B194) / $B194, "")</f>
        <v>-2.1349274124679761E-2</v>
      </c>
      <c r="I194" s="106">
        <f>IF(ISNUMBER(G194), $B199 * H194, "")</f>
        <v>-6404.7822374039279</v>
      </c>
      <c r="J194" s="102">
        <v>11510</v>
      </c>
      <c r="K194" s="103">
        <f>IF(ISNUMBER(J194), (J194 - $B194) / $B194, "")</f>
        <v>-1.7079419299743808E-2</v>
      </c>
      <c r="L194" s="104">
        <f>IF(ISNUMBER(J194), $B199 * K194, "")</f>
        <v>-5123.8257899231421</v>
      </c>
      <c r="M194" s="105">
        <v>11480</v>
      </c>
      <c r="N194" s="103">
        <f>IF(ISNUMBER(M194), (M194 - $B194) / $B194, "")</f>
        <v>-1.9641332194705381E-2</v>
      </c>
      <c r="O194" s="104">
        <f>IF(ISNUMBER(M194), $B199 * N194, "")</f>
        <v>-5892.3996584116139</v>
      </c>
      <c r="Q194" s="275"/>
      <c r="R194" s="275"/>
      <c r="S194" s="275"/>
    </row>
    <row r="195" spans="1:19" ht="17.25" thickBot="1">
      <c r="A195" s="17" t="s">
        <v>164</v>
      </c>
      <c r="B195" s="15">
        <v>26510</v>
      </c>
      <c r="C195" s="32">
        <v>-3.4244080099999998E-2</v>
      </c>
      <c r="D195" s="15">
        <v>26670</v>
      </c>
      <c r="E195" s="32">
        <f t="shared" ref="E195:E198" si="106">IF(ISNUMBER(D195), (D195 - $B195) / $B195, "")</f>
        <v>6.0354583176159939E-3</v>
      </c>
      <c r="F195" s="18">
        <f>IF(ISNUMBER(D195), $B199 * E195, "")</f>
        <v>1810.6374952847982</v>
      </c>
      <c r="G195" s="31">
        <v>26630</v>
      </c>
      <c r="H195" s="32">
        <f t="shared" ref="H195:H198" si="107">IF(ISNUMBER(G195), (G195 - $B195) / $B195, "")</f>
        <v>4.5265937382119956E-3</v>
      </c>
      <c r="I195" s="97">
        <f>IF(ISNUMBER(G195), $B199 * H195, "")</f>
        <v>1357.9781214635987</v>
      </c>
      <c r="J195" s="15">
        <v>27030</v>
      </c>
      <c r="K195" s="32">
        <f t="shared" ref="K195:K198" si="108">IF(ISNUMBER(J195), (J195 - $B195) / $B195, "")</f>
        <v>1.9615239532251982E-2</v>
      </c>
      <c r="L195" s="18">
        <f>IF(ISNUMBER(J195), $B199 * K195, "")</f>
        <v>5884.5718596755942</v>
      </c>
      <c r="M195" s="31">
        <v>27170</v>
      </c>
      <c r="N195" s="32">
        <f t="shared" ref="N195:N198" si="109">IF(ISNUMBER(M195), (M195 - $B195) / $B195, "")</f>
        <v>2.4896265560165973E-2</v>
      </c>
      <c r="O195" s="18">
        <f>IF(ISNUMBER(M195), $B199 * N195, "")</f>
        <v>7468.8796680497917</v>
      </c>
      <c r="Q195" s="275"/>
      <c r="R195" s="275"/>
      <c r="S195" s="275"/>
    </row>
    <row r="196" spans="1:19" ht="17.25" thickBot="1">
      <c r="A196" s="17" t="s">
        <v>190</v>
      </c>
      <c r="B196" s="15">
        <v>78080</v>
      </c>
      <c r="C196" s="32">
        <v>-3.7119250200000002E-2</v>
      </c>
      <c r="D196" s="15">
        <v>78350</v>
      </c>
      <c r="E196" s="32">
        <f t="shared" si="106"/>
        <v>3.4579918032786885E-3</v>
      </c>
      <c r="F196" s="18">
        <f>IF(ISNUMBER(D196), $B199 * E196, "")</f>
        <v>1037.3975409836066</v>
      </c>
      <c r="G196" s="31">
        <v>78180</v>
      </c>
      <c r="H196" s="32">
        <f t="shared" si="107"/>
        <v>1.2807377049180327E-3</v>
      </c>
      <c r="I196" s="97">
        <f>IF(ISNUMBER(G196), $B199 * H196, "")</f>
        <v>384.22131147540983</v>
      </c>
      <c r="J196" s="15">
        <v>78490</v>
      </c>
      <c r="K196" s="32">
        <f t="shared" si="108"/>
        <v>5.2510245901639342E-3</v>
      </c>
      <c r="L196" s="18">
        <f>IF(ISNUMBER(J196), $B199 * K196, "")</f>
        <v>1575.3073770491803</v>
      </c>
      <c r="M196" s="31">
        <v>78410</v>
      </c>
      <c r="N196" s="32">
        <f t="shared" si="109"/>
        <v>4.2264344262295086E-3</v>
      </c>
      <c r="O196" s="18">
        <f>IF(ISNUMBER(M196), $B199 * N196, "")</f>
        <v>1267.9303278688526</v>
      </c>
      <c r="Q196" s="275"/>
      <c r="R196" s="275"/>
      <c r="S196" s="275"/>
    </row>
    <row r="197" spans="1:19">
      <c r="A197" s="17" t="s">
        <v>204</v>
      </c>
      <c r="B197" s="15">
        <v>10100</v>
      </c>
      <c r="C197" s="32">
        <v>-3.8095238099999998E-2</v>
      </c>
      <c r="D197" s="15">
        <v>10180</v>
      </c>
      <c r="E197" s="32">
        <f t="shared" si="106"/>
        <v>7.9207920792079209E-3</v>
      </c>
      <c r="F197" s="18">
        <f>IF(ISNUMBER(D197), $B199 * E197, "")</f>
        <v>2376.2376237623762</v>
      </c>
      <c r="G197" s="31">
        <v>10070</v>
      </c>
      <c r="H197" s="32">
        <f t="shared" si="107"/>
        <v>-2.9702970297029703E-3</v>
      </c>
      <c r="I197" s="97">
        <f>IF(ISNUMBER(G197), $B199 * H197, "")</f>
        <v>-891.08910891089113</v>
      </c>
      <c r="J197" s="15">
        <v>10090</v>
      </c>
      <c r="K197" s="32">
        <f t="shared" si="108"/>
        <v>-9.9009900990099011E-4</v>
      </c>
      <c r="L197" s="18">
        <f>IF(ISNUMBER(J197), $B199 * K197, "")</f>
        <v>-297.02970297029702</v>
      </c>
      <c r="M197" s="31">
        <v>10130</v>
      </c>
      <c r="N197" s="32">
        <f t="shared" si="109"/>
        <v>2.9702970297029703E-3</v>
      </c>
      <c r="O197" s="18">
        <f>IF(ISNUMBER(M197), $B199 * N197, "")</f>
        <v>891.08910891089113</v>
      </c>
      <c r="Q197" s="297"/>
      <c r="R197" s="298"/>
      <c r="S197" s="299"/>
    </row>
    <row r="198" spans="1:19" ht="17.25" thickBot="1">
      <c r="A198" s="23" t="s">
        <v>67</v>
      </c>
      <c r="B198" s="24">
        <v>10020</v>
      </c>
      <c r="C198" s="25">
        <v>-4.1148325399999998E-2</v>
      </c>
      <c r="D198" s="24">
        <v>10000</v>
      </c>
      <c r="E198" s="25">
        <f t="shared" si="106"/>
        <v>-1.996007984031936E-3</v>
      </c>
      <c r="F198" s="100">
        <f>IF(ISNUMBER(D198), $B199 * E198, "")</f>
        <v>-598.80239520958082</v>
      </c>
      <c r="G198" s="98">
        <v>9980</v>
      </c>
      <c r="H198" s="25">
        <f t="shared" si="107"/>
        <v>-3.9920159680638719E-3</v>
      </c>
      <c r="I198" s="99">
        <f>IF(ISNUMBER(G198), $B199 * H198, "")</f>
        <v>-1197.6047904191616</v>
      </c>
      <c r="J198" s="24">
        <v>10020</v>
      </c>
      <c r="K198" s="25">
        <f t="shared" si="108"/>
        <v>0</v>
      </c>
      <c r="L198" s="100">
        <f>IF(ISNUMBER(J198), $B199 * K198, "")</f>
        <v>0</v>
      </c>
      <c r="M198" s="98">
        <v>10040</v>
      </c>
      <c r="N198" s="25">
        <f t="shared" si="109"/>
        <v>1.996007984031936E-3</v>
      </c>
      <c r="O198" s="100">
        <f>IF(ISNUMBER(M198), $B199 * N198, "")</f>
        <v>598.80239520958082</v>
      </c>
      <c r="Q198" s="300"/>
      <c r="R198" s="301"/>
      <c r="S198" s="302"/>
    </row>
    <row r="199" spans="1:19" ht="17.25" thickBot="1">
      <c r="A199" s="26" t="s">
        <v>301</v>
      </c>
      <c r="B199" s="306">
        <f>$B$37</f>
        <v>300000</v>
      </c>
      <c r="C199" s="307"/>
      <c r="D199" s="26" t="s">
        <v>302</v>
      </c>
      <c r="E199" s="27">
        <f>IF(COUNT(E179:E198), SUM(E179:E198) / COUNT(E179:E198), 0)</f>
        <v>4.225429661185073E-3</v>
      </c>
      <c r="F199" s="28">
        <f>SUM(F179:F198)</f>
        <v>25352.577967110439</v>
      </c>
      <c r="G199" s="26" t="s">
        <v>302</v>
      </c>
      <c r="H199" s="27">
        <f>IF(COUNT(H179:H198), SUM(H179:H198) / COUNT(H179:H198), 0)</f>
        <v>-5.0321908230329965E-4</v>
      </c>
      <c r="I199" s="28">
        <f>SUM(I179:I198)</f>
        <v>-3019.3144938197966</v>
      </c>
      <c r="J199" s="26" t="s">
        <v>302</v>
      </c>
      <c r="K199" s="27">
        <f>IF(COUNT(K179:K198), SUM(K179:K198) / COUNT(K179:K198), 0)</f>
        <v>5.8174875976873385E-3</v>
      </c>
      <c r="L199" s="28">
        <f>SUM(L179:L198)</f>
        <v>34904.925586124016</v>
      </c>
      <c r="M199" s="26" t="s">
        <v>302</v>
      </c>
      <c r="N199" s="27">
        <f>IF(COUNT(N179:N198), SUM(N179:N198) / COUNT(N179:N198), 0)</f>
        <v>5.2119906374178248E-3</v>
      </c>
      <c r="O199" s="28">
        <f>SUM(O179:O198)</f>
        <v>31271.943824506943</v>
      </c>
      <c r="Q199" s="303"/>
      <c r="R199" s="304"/>
      <c r="S199" s="30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85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5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5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5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5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5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5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5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5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5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49" priority="157">
      <formula>AND($N17 &gt; 0, ISNUMBER($N17))</formula>
    </cfRule>
    <cfRule type="expression" dxfId="2848" priority="158">
      <formula>AND($N17 = 0 * ISNUMBER($N17))</formula>
    </cfRule>
    <cfRule type="expression" dxfId="2847" priority="159">
      <formula>AND($N17 &lt; 0, ISNUMBER($N17))</formula>
    </cfRule>
  </conditionalFormatting>
  <conditionalFormatting sqref="A17:F36">
    <cfRule type="expression" dxfId="2846" priority="166">
      <formula>AND($E17 &gt; 0, ISNUMBER($E17))</formula>
    </cfRule>
    <cfRule type="expression" dxfId="2845" priority="167">
      <formula>AND($E17 = 0 * ISNUMBER($E17))</formula>
    </cfRule>
    <cfRule type="expression" dxfId="2844" priority="168">
      <formula>AND($E17 &lt; 0, ISNUMBER($E17))</formula>
    </cfRule>
  </conditionalFormatting>
  <conditionalFormatting sqref="A17:C36 G17:I36">
    <cfRule type="expression" dxfId="2843" priority="163">
      <formula>AND($H17 &gt; 0, ISNUMBER($H17))</formula>
    </cfRule>
    <cfRule type="expression" dxfId="2842" priority="164">
      <formula>AND($H17 = 0 * ISNUMBER($H17))</formula>
    </cfRule>
    <cfRule type="expression" dxfId="2841" priority="165">
      <formula>AND($H17 &lt; 0, ISNUMBER($H17))</formula>
    </cfRule>
  </conditionalFormatting>
  <conditionalFormatting sqref="A17:C36 J17:L36">
    <cfRule type="expression" dxfId="2840" priority="160">
      <formula>AND($K17 &gt; 0, ISNUMBER($K17))</formula>
    </cfRule>
    <cfRule type="expression" dxfId="2839" priority="161">
      <formula>AND($K17 = 0 * ISNUMBER($K17))</formula>
    </cfRule>
    <cfRule type="expression" dxfId="2838" priority="162">
      <formula>AND($K17 &lt; 0, ISNUMBER($K17))</formula>
    </cfRule>
  </conditionalFormatting>
  <conditionalFormatting sqref="D15:F16 E37:F37">
    <cfRule type="expression" dxfId="2837" priority="154">
      <formula>$E$37 &gt; 0</formula>
    </cfRule>
    <cfRule type="expression" dxfId="2836" priority="155">
      <formula>$E$37 = 0</formula>
    </cfRule>
    <cfRule type="expression" dxfId="2835" priority="156">
      <formula>$E$37 &lt; 0</formula>
    </cfRule>
  </conditionalFormatting>
  <conditionalFormatting sqref="G15:I16 H37:I37">
    <cfRule type="expression" dxfId="2834" priority="151">
      <formula>$H$37 &gt; 0</formula>
    </cfRule>
    <cfRule type="expression" dxfId="2833" priority="152">
      <formula>$H$37 = 0</formula>
    </cfRule>
    <cfRule type="expression" dxfId="2832" priority="153">
      <formula>$H$37 &lt; 0</formula>
    </cfRule>
  </conditionalFormatting>
  <conditionalFormatting sqref="J15:L16 K37:L37">
    <cfRule type="expression" dxfId="2831" priority="148">
      <formula>$K$37 &gt; 0</formula>
    </cfRule>
    <cfRule type="expression" dxfId="2830" priority="149">
      <formula>$K$37 = 0</formula>
    </cfRule>
    <cfRule type="expression" dxfId="2829" priority="150">
      <formula>$K$37 &lt; 0</formula>
    </cfRule>
  </conditionalFormatting>
  <conditionalFormatting sqref="M15:O16 N37:O37">
    <cfRule type="expression" dxfId="2828" priority="145">
      <formula>$N$37 &gt; 0</formula>
    </cfRule>
    <cfRule type="expression" dxfId="2827" priority="146">
      <formula>$N$37 = 0</formula>
    </cfRule>
    <cfRule type="expression" dxfId="2826" priority="147">
      <formula>$N$37 &lt; 0</formula>
    </cfRule>
  </conditionalFormatting>
  <conditionalFormatting sqref="A44:C63 M44:O63">
    <cfRule type="expression" dxfId="2825" priority="133">
      <formula>AND($N44 &gt; 0, ISNUMBER($N44))</formula>
    </cfRule>
    <cfRule type="expression" dxfId="2824" priority="134">
      <formula>AND($N44 = 0 * ISNUMBER($N44))</formula>
    </cfRule>
    <cfRule type="expression" dxfId="2823" priority="135">
      <formula>AND($N44 &lt; 0, ISNUMBER($N44))</formula>
    </cfRule>
  </conditionalFormatting>
  <conditionalFormatting sqref="A44:F63">
    <cfRule type="expression" dxfId="2822" priority="142">
      <formula>AND($E44 &gt; 0, ISNUMBER($E44))</formula>
    </cfRule>
    <cfRule type="expression" dxfId="2821" priority="143">
      <formula>AND($E44 = 0 * ISNUMBER($E44))</formula>
    </cfRule>
    <cfRule type="expression" dxfId="2820" priority="144">
      <formula>AND($E44 &lt; 0, ISNUMBER($E44))</formula>
    </cfRule>
  </conditionalFormatting>
  <conditionalFormatting sqref="A44:C63 G44:I63">
    <cfRule type="expression" dxfId="2819" priority="139">
      <formula>AND($H44 &gt; 0, ISNUMBER($H44))</formula>
    </cfRule>
    <cfRule type="expression" dxfId="2818" priority="140">
      <formula>AND($H44 = 0 * ISNUMBER($H44))</formula>
    </cfRule>
    <cfRule type="expression" dxfId="2817" priority="141">
      <formula>AND($H44 &lt; 0, ISNUMBER($H44))</formula>
    </cfRule>
  </conditionalFormatting>
  <conditionalFormatting sqref="A44:C63 J44:L63">
    <cfRule type="expression" dxfId="2816" priority="136">
      <formula>AND($K44 &gt; 0, ISNUMBER($K44))</formula>
    </cfRule>
    <cfRule type="expression" dxfId="2815" priority="137">
      <formula>AND($K44 = 0 * ISNUMBER($K44))</formula>
    </cfRule>
    <cfRule type="expression" dxfId="2814" priority="138">
      <formula>AND($K44 &lt; 0, ISNUMBER($K44))</formula>
    </cfRule>
  </conditionalFormatting>
  <conditionalFormatting sqref="D42:F43 E64:F64">
    <cfRule type="expression" dxfId="2813" priority="130">
      <formula>$E$64 &gt; 0</formula>
    </cfRule>
    <cfRule type="expression" dxfId="2812" priority="131">
      <formula>$E$64 = 0</formula>
    </cfRule>
    <cfRule type="expression" dxfId="2811" priority="132">
      <formula>$E$64 &lt; 0</formula>
    </cfRule>
  </conditionalFormatting>
  <conditionalFormatting sqref="G42:I43 H64:I64">
    <cfRule type="expression" dxfId="2810" priority="127">
      <formula>$H$64 &gt; 0</formula>
    </cfRule>
    <cfRule type="expression" dxfId="2809" priority="128">
      <formula>$H$64 = 0</formula>
    </cfRule>
    <cfRule type="expression" dxfId="2808" priority="129">
      <formula>$H$64 &lt; 0</formula>
    </cfRule>
  </conditionalFormatting>
  <conditionalFormatting sqref="J42:L43 K64:L64">
    <cfRule type="expression" dxfId="2807" priority="124">
      <formula>$K$64 &gt; 0</formula>
    </cfRule>
    <cfRule type="expression" dxfId="2806" priority="125">
      <formula>$K$64 = 0</formula>
    </cfRule>
    <cfRule type="expression" dxfId="2805" priority="126">
      <formula>$K$64 &lt; 0</formula>
    </cfRule>
  </conditionalFormatting>
  <conditionalFormatting sqref="M42:O43 N64:O64">
    <cfRule type="expression" dxfId="2804" priority="121">
      <formula>$N$64 &gt; 0</formula>
    </cfRule>
    <cfRule type="expression" dxfId="2803" priority="122">
      <formula>$N$64 = 0</formula>
    </cfRule>
    <cfRule type="expression" dxfId="2802" priority="123">
      <formula>$N$64 &lt; 0</formula>
    </cfRule>
  </conditionalFormatting>
  <conditionalFormatting sqref="A71:C90 M71:O90">
    <cfRule type="expression" dxfId="2801" priority="109">
      <formula>AND($N71 &gt; 0, ISNUMBER($N71))</formula>
    </cfRule>
    <cfRule type="expression" dxfId="2800" priority="110">
      <formula>AND($N71 = 0 * ISNUMBER($N71))</formula>
    </cfRule>
    <cfRule type="expression" dxfId="2799" priority="111">
      <formula>AND($N71 &lt; 0, ISNUMBER($N71))</formula>
    </cfRule>
  </conditionalFormatting>
  <conditionalFormatting sqref="A71:F90">
    <cfRule type="expression" dxfId="2798" priority="118">
      <formula>AND($E71 &gt; 0, ISNUMBER($E71))</formula>
    </cfRule>
    <cfRule type="expression" dxfId="2797" priority="119">
      <formula>AND($E71 = 0 * ISNUMBER($E71))</formula>
    </cfRule>
    <cfRule type="expression" dxfId="2796" priority="120">
      <formula>AND($E71 &lt; 0, ISNUMBER($E71))</formula>
    </cfRule>
  </conditionalFormatting>
  <conditionalFormatting sqref="A71:C90 G71:I90">
    <cfRule type="expression" dxfId="2795" priority="115">
      <formula>AND($H71 &gt; 0, ISNUMBER($H71))</formula>
    </cfRule>
    <cfRule type="expression" dxfId="2794" priority="116">
      <formula>AND($H71 = 0 * ISNUMBER($H71))</formula>
    </cfRule>
    <cfRule type="expression" dxfId="2793" priority="117">
      <formula>AND($H71 &lt; 0, ISNUMBER($H71))</formula>
    </cfRule>
  </conditionalFormatting>
  <conditionalFormatting sqref="A71:C90 J71:L90">
    <cfRule type="expression" dxfId="2792" priority="112">
      <formula>AND($K71 &gt; 0, ISNUMBER($K71))</formula>
    </cfRule>
    <cfRule type="expression" dxfId="2791" priority="113">
      <formula>AND($K71 = 0 * ISNUMBER($K71))</formula>
    </cfRule>
    <cfRule type="expression" dxfId="2790" priority="114">
      <formula>AND($K71 &lt; 0, ISNUMBER($K71))</formula>
    </cfRule>
  </conditionalFormatting>
  <conditionalFormatting sqref="D69:F70 E91:F91">
    <cfRule type="expression" dxfId="2789" priority="106">
      <formula>$E$91 &gt; 0</formula>
    </cfRule>
    <cfRule type="expression" dxfId="2788" priority="107">
      <formula>$E$91 = 0</formula>
    </cfRule>
    <cfRule type="expression" dxfId="2787" priority="108">
      <formula>$E$91 &lt; 0</formula>
    </cfRule>
  </conditionalFormatting>
  <conditionalFormatting sqref="G69:I70 H91:I91">
    <cfRule type="expression" dxfId="2786" priority="103">
      <formula>$H$91 &gt; 0</formula>
    </cfRule>
    <cfRule type="expression" dxfId="2785" priority="104">
      <formula>$H$91 = 0</formula>
    </cfRule>
    <cfRule type="expression" dxfId="2784" priority="105">
      <formula>$H$91 &lt; 0</formula>
    </cfRule>
  </conditionalFormatting>
  <conditionalFormatting sqref="J69:L70 K91:L91">
    <cfRule type="expression" dxfId="2783" priority="100">
      <formula>$K$91 &gt; 0</formula>
    </cfRule>
    <cfRule type="expression" dxfId="2782" priority="101">
      <formula>$K$91 = 0</formula>
    </cfRule>
    <cfRule type="expression" dxfId="2781" priority="102">
      <formula>$K$91 &lt; 0</formula>
    </cfRule>
  </conditionalFormatting>
  <conditionalFormatting sqref="M69:O70 N91:O91">
    <cfRule type="expression" dxfId="2780" priority="97">
      <formula>$N$91 &gt; 0</formula>
    </cfRule>
    <cfRule type="expression" dxfId="2779" priority="98">
      <formula>$N$91 = 0</formula>
    </cfRule>
    <cfRule type="expression" dxfId="2778" priority="99">
      <formula>$N$91 &lt; 0</formula>
    </cfRule>
  </conditionalFormatting>
  <conditionalFormatting sqref="A98:C117 M98:O117">
    <cfRule type="expression" dxfId="2777" priority="85">
      <formula>AND($N98 &gt; 0, ISNUMBER($N98))</formula>
    </cfRule>
    <cfRule type="expression" dxfId="2776" priority="86">
      <formula>AND($N98 = 0 * ISNUMBER($N98))</formula>
    </cfRule>
    <cfRule type="expression" dxfId="2775" priority="87">
      <formula>AND($N98 &lt; 0, ISNUMBER($N98))</formula>
    </cfRule>
  </conditionalFormatting>
  <conditionalFormatting sqref="A98:F117">
    <cfRule type="expression" dxfId="2774" priority="94">
      <formula>AND($E98 &gt; 0, ISNUMBER($E98))</formula>
    </cfRule>
    <cfRule type="expression" dxfId="2773" priority="95">
      <formula>AND($E98 = 0 * ISNUMBER($E98))</formula>
    </cfRule>
    <cfRule type="expression" dxfId="2772" priority="96">
      <formula>AND($E98 &lt; 0, ISNUMBER($E98))</formula>
    </cfRule>
  </conditionalFormatting>
  <conditionalFormatting sqref="A98:C117 G98:I117">
    <cfRule type="expression" dxfId="2771" priority="91">
      <formula>AND($H98 &gt; 0, ISNUMBER($H98))</formula>
    </cfRule>
    <cfRule type="expression" dxfId="2770" priority="92">
      <formula>AND($H98 = 0 * ISNUMBER($H98))</formula>
    </cfRule>
    <cfRule type="expression" dxfId="2769" priority="93">
      <formula>AND($H98 &lt; 0, ISNUMBER($H98))</formula>
    </cfRule>
  </conditionalFormatting>
  <conditionalFormatting sqref="A98:C117 J98:L117">
    <cfRule type="expression" dxfId="2768" priority="88">
      <formula>AND($K98 &gt; 0, ISNUMBER($K98))</formula>
    </cfRule>
    <cfRule type="expression" dxfId="2767" priority="89">
      <formula>AND($K98 = 0 * ISNUMBER($K98))</formula>
    </cfRule>
    <cfRule type="expression" dxfId="2766" priority="90">
      <formula>AND($K98 &lt; 0, ISNUMBER($K98))</formula>
    </cfRule>
  </conditionalFormatting>
  <conditionalFormatting sqref="D96:F97 E118:F118">
    <cfRule type="expression" dxfId="2765" priority="82">
      <formula>$E$118 &gt; 0</formula>
    </cfRule>
    <cfRule type="expression" dxfId="2764" priority="83">
      <formula>$E$118 = 0</formula>
    </cfRule>
    <cfRule type="expression" dxfId="2763" priority="84">
      <formula>$E$118 &lt; 0</formula>
    </cfRule>
  </conditionalFormatting>
  <conditionalFormatting sqref="G96:I97 H118:I118">
    <cfRule type="expression" dxfId="2762" priority="79">
      <formula>$H$118 &gt; 0</formula>
    </cfRule>
    <cfRule type="expression" dxfId="2761" priority="80">
      <formula>$H$118 = 0</formula>
    </cfRule>
    <cfRule type="expression" dxfId="2760" priority="81">
      <formula>$H$118 &lt; 0</formula>
    </cfRule>
  </conditionalFormatting>
  <conditionalFormatting sqref="J96:L97 K118:L118">
    <cfRule type="expression" dxfId="2759" priority="76">
      <formula>$K$118 &gt; 0</formula>
    </cfRule>
    <cfRule type="expression" dxfId="2758" priority="77">
      <formula>$K$118 = 0</formula>
    </cfRule>
    <cfRule type="expression" dxfId="2757" priority="78">
      <formula>$K$118 &lt; 0</formula>
    </cfRule>
  </conditionalFormatting>
  <conditionalFormatting sqref="M96:O97 N118:O118">
    <cfRule type="expression" dxfId="2756" priority="73">
      <formula>$N$118 &gt; 0</formula>
    </cfRule>
    <cfRule type="expression" dxfId="2755" priority="74">
      <formula>$N$118 = 0</formula>
    </cfRule>
    <cfRule type="expression" dxfId="2754" priority="75">
      <formula>$N$118 &lt; 0</formula>
    </cfRule>
  </conditionalFormatting>
  <conditionalFormatting sqref="A125:C144 M125:O144">
    <cfRule type="expression" dxfId="2753" priority="61">
      <formula>AND($N125 &gt; 0, ISNUMBER($N125))</formula>
    </cfRule>
    <cfRule type="expression" dxfId="2752" priority="62">
      <formula>AND($N125 = 0 * ISNUMBER($N125))</formula>
    </cfRule>
    <cfRule type="expression" dxfId="2751" priority="63">
      <formula>AND($N125 &lt; 0, ISNUMBER($N125))</formula>
    </cfRule>
  </conditionalFormatting>
  <conditionalFormatting sqref="A125:F144">
    <cfRule type="expression" dxfId="2750" priority="70">
      <formula>AND($E125 &gt; 0, ISNUMBER($E125))</formula>
    </cfRule>
    <cfRule type="expression" dxfId="2749" priority="71">
      <formula>AND($E125 = 0 * ISNUMBER($E125))</formula>
    </cfRule>
    <cfRule type="expression" dxfId="2748" priority="72">
      <formula>AND($E125 &lt; 0, ISNUMBER($E125))</formula>
    </cfRule>
  </conditionalFormatting>
  <conditionalFormatting sqref="A125:C144 G125:I144">
    <cfRule type="expression" dxfId="2747" priority="67">
      <formula>AND($H125 &gt; 0, ISNUMBER($H125))</formula>
    </cfRule>
    <cfRule type="expression" dxfId="2746" priority="68">
      <formula>AND($H125 = 0 * ISNUMBER($H125))</formula>
    </cfRule>
    <cfRule type="expression" dxfId="2745" priority="69">
      <formula>AND($H125 &lt; 0, ISNUMBER($H125))</formula>
    </cfRule>
  </conditionalFormatting>
  <conditionalFormatting sqref="A125:C144 J125:L144">
    <cfRule type="expression" dxfId="2744" priority="64">
      <formula>AND($K125 &gt; 0, ISNUMBER($K125))</formula>
    </cfRule>
    <cfRule type="expression" dxfId="2743" priority="65">
      <formula>AND($K125 = 0 * ISNUMBER($K125))</formula>
    </cfRule>
    <cfRule type="expression" dxfId="2742" priority="66">
      <formula>AND($K125 &lt; 0, ISNUMBER($K125))</formula>
    </cfRule>
  </conditionalFormatting>
  <conditionalFormatting sqref="D123:F124 E145:F145">
    <cfRule type="expression" dxfId="2741" priority="58">
      <formula>$E$145 &gt; 0</formula>
    </cfRule>
    <cfRule type="expression" dxfId="2740" priority="59">
      <formula>$E$145 = 0</formula>
    </cfRule>
    <cfRule type="expression" dxfId="2739" priority="60">
      <formula>$E$145 &lt; 0</formula>
    </cfRule>
  </conditionalFormatting>
  <conditionalFormatting sqref="G123:I124 H145:I145">
    <cfRule type="expression" dxfId="2738" priority="55">
      <formula>$H$145 &gt; 0</formula>
    </cfRule>
    <cfRule type="expression" dxfId="2737" priority="56">
      <formula>$H$145 = 0</formula>
    </cfRule>
    <cfRule type="expression" dxfId="2736" priority="57">
      <formula>$H$145 &lt; 0</formula>
    </cfRule>
  </conditionalFormatting>
  <conditionalFormatting sqref="J123:L124 K145:L145">
    <cfRule type="expression" dxfId="2735" priority="52">
      <formula>$K$145 &gt; 0</formula>
    </cfRule>
    <cfRule type="expression" dxfId="2734" priority="53">
      <formula>$K$145 = 0</formula>
    </cfRule>
    <cfRule type="expression" dxfId="2733" priority="54">
      <formula>$K$145 &lt; 0</formula>
    </cfRule>
  </conditionalFormatting>
  <conditionalFormatting sqref="M123:O124 N145:O145">
    <cfRule type="expression" dxfId="2732" priority="49">
      <formula>$N$145 &gt; 0</formula>
    </cfRule>
    <cfRule type="expression" dxfId="2731" priority="50">
      <formula>$N$145 = 0</formula>
    </cfRule>
    <cfRule type="expression" dxfId="2730" priority="51">
      <formula>$N$145 &lt; 0</formula>
    </cfRule>
  </conditionalFormatting>
  <conditionalFormatting sqref="A152:C171 M152:O171">
    <cfRule type="expression" dxfId="2729" priority="37">
      <formula>AND($N152 &gt; 0, ISNUMBER($N152))</formula>
    </cfRule>
    <cfRule type="expression" dxfId="2728" priority="38">
      <formula>AND($N152 = 0 * ISNUMBER($N152))</formula>
    </cfRule>
    <cfRule type="expression" dxfId="2727" priority="39">
      <formula>AND($N152 &lt; 0, ISNUMBER($N152))</formula>
    </cfRule>
  </conditionalFormatting>
  <conditionalFormatting sqref="A152:F171">
    <cfRule type="expression" dxfId="2726" priority="46">
      <formula>AND($E152 &gt; 0, ISNUMBER($E152))</formula>
    </cfRule>
    <cfRule type="expression" dxfId="2725" priority="47">
      <formula>AND($E152 = 0 * ISNUMBER($E152))</formula>
    </cfRule>
    <cfRule type="expression" dxfId="2724" priority="48">
      <formula>AND($E152 &lt; 0, ISNUMBER($E152))</formula>
    </cfRule>
  </conditionalFormatting>
  <conditionalFormatting sqref="A152:C171 G152:I171">
    <cfRule type="expression" dxfId="2723" priority="43">
      <formula>AND($H152 &gt; 0, ISNUMBER($H152))</formula>
    </cfRule>
    <cfRule type="expression" dxfId="2722" priority="44">
      <formula>AND($H152 = 0 * ISNUMBER($H152))</formula>
    </cfRule>
    <cfRule type="expression" dxfId="2721" priority="45">
      <formula>AND($H152 &lt; 0, ISNUMBER($H152))</formula>
    </cfRule>
  </conditionalFormatting>
  <conditionalFormatting sqref="A152:C171 J152:L171">
    <cfRule type="expression" dxfId="2720" priority="40">
      <formula>AND($K152 &gt; 0, ISNUMBER($K152))</formula>
    </cfRule>
    <cfRule type="expression" dxfId="2719" priority="41">
      <formula>AND($K152 = 0 * ISNUMBER($K152))</formula>
    </cfRule>
    <cfRule type="expression" dxfId="2718" priority="42">
      <formula>AND($K152 &lt; 0, ISNUMBER($K152))</formula>
    </cfRule>
  </conditionalFormatting>
  <conditionalFormatting sqref="D150:F151 E172:F172">
    <cfRule type="expression" dxfId="2717" priority="34">
      <formula>$E$172 &gt; 0</formula>
    </cfRule>
    <cfRule type="expression" dxfId="2716" priority="35">
      <formula>$E$172 = 0</formula>
    </cfRule>
    <cfRule type="expression" dxfId="2715" priority="36">
      <formula>$E$172 &lt; 0</formula>
    </cfRule>
  </conditionalFormatting>
  <conditionalFormatting sqref="G150:I151 H172:I172">
    <cfRule type="expression" dxfId="2714" priority="31">
      <formula>$H$172 &gt; 0</formula>
    </cfRule>
    <cfRule type="expression" dxfId="2713" priority="32">
      <formula>$H$172 = 0</formula>
    </cfRule>
    <cfRule type="expression" dxfId="2712" priority="33">
      <formula>$H$172 &lt; 0</formula>
    </cfRule>
  </conditionalFormatting>
  <conditionalFormatting sqref="J150:L151 K172:L172">
    <cfRule type="expression" dxfId="2711" priority="28">
      <formula>$K$172 &gt; 0</formula>
    </cfRule>
    <cfRule type="expression" dxfId="2710" priority="29">
      <formula>$K$172 = 0</formula>
    </cfRule>
    <cfRule type="expression" dxfId="2709" priority="30">
      <formula>$K$172 &lt; 0</formula>
    </cfRule>
  </conditionalFormatting>
  <conditionalFormatting sqref="M150:O151 N172:O172">
    <cfRule type="expression" dxfId="2708" priority="25">
      <formula>$N$172 &gt; 0</formula>
    </cfRule>
    <cfRule type="expression" dxfId="2707" priority="26">
      <formula>$N$172 = 0</formula>
    </cfRule>
    <cfRule type="expression" dxfId="2706" priority="27">
      <formula>$N$172 &lt; 0</formula>
    </cfRule>
  </conditionalFormatting>
  <conditionalFormatting sqref="A179:C198 M179:O198">
    <cfRule type="expression" dxfId="2705" priority="13">
      <formula>AND($N179 &gt; 0, ISNUMBER($N179))</formula>
    </cfRule>
    <cfRule type="expression" dxfId="2704" priority="14">
      <formula>AND($N179 = 0 * ISNUMBER($N179))</formula>
    </cfRule>
    <cfRule type="expression" dxfId="2703" priority="15">
      <formula>AND($N179 &lt; 0, ISNUMBER($N179))</formula>
    </cfRule>
  </conditionalFormatting>
  <conditionalFormatting sqref="A179:F198">
    <cfRule type="expression" dxfId="2702" priority="22">
      <formula>AND($E179 &gt; 0, ISNUMBER($E179))</formula>
    </cfRule>
    <cfRule type="expression" dxfId="2701" priority="23">
      <formula>AND($E179 = 0 * ISNUMBER($E179))</formula>
    </cfRule>
    <cfRule type="expression" dxfId="2700" priority="24">
      <formula>AND($E179 &lt; 0, ISNUMBER($E179))</formula>
    </cfRule>
  </conditionalFormatting>
  <conditionalFormatting sqref="A179:C198 G179:I198">
    <cfRule type="expression" dxfId="2699" priority="19">
      <formula>AND($H179 &gt; 0, ISNUMBER($H179))</formula>
    </cfRule>
    <cfRule type="expression" dxfId="2698" priority="20">
      <formula>AND($H179 = 0 * ISNUMBER($H179))</formula>
    </cfRule>
    <cfRule type="expression" dxfId="2697" priority="21">
      <formula>AND($H179 &lt; 0, ISNUMBER($H179))</formula>
    </cfRule>
  </conditionalFormatting>
  <conditionalFormatting sqref="A179:C198 J179:L198">
    <cfRule type="expression" dxfId="2696" priority="16">
      <formula>AND($K179 &gt; 0, ISNUMBER($K179))</formula>
    </cfRule>
    <cfRule type="expression" dxfId="2695" priority="17">
      <formula>AND($K179 = 0 * ISNUMBER($K179))</formula>
    </cfRule>
    <cfRule type="expression" dxfId="2694" priority="18">
      <formula>AND($K179 &lt; 0, ISNUMBER($K179))</formula>
    </cfRule>
  </conditionalFormatting>
  <conditionalFormatting sqref="D177:F178 E199:F199">
    <cfRule type="expression" dxfId="2693" priority="10">
      <formula>$E$199 &gt; 0</formula>
    </cfRule>
    <cfRule type="expression" dxfId="2692" priority="11">
      <formula>$E$199 = 0</formula>
    </cfRule>
    <cfRule type="expression" dxfId="2691" priority="12">
      <formula>$E$199 &lt; 0</formula>
    </cfRule>
  </conditionalFormatting>
  <conditionalFormatting sqref="G177:I178 H199:I199">
    <cfRule type="expression" dxfId="2690" priority="7">
      <formula>$H$199 &gt; 0</formula>
    </cfRule>
    <cfRule type="expression" dxfId="2689" priority="8">
      <formula>$H$199 = 0</formula>
    </cfRule>
    <cfRule type="expression" dxfId="2688" priority="9">
      <formula>$H$199 &lt; 0</formula>
    </cfRule>
  </conditionalFormatting>
  <conditionalFormatting sqref="J177:L178 K199:L199">
    <cfRule type="expression" dxfId="2687" priority="4">
      <formula>$K$199 &gt; 0</formula>
    </cfRule>
    <cfRule type="expression" dxfId="2686" priority="5">
      <formula>$K$199 = 0</formula>
    </cfRule>
    <cfRule type="expression" dxfId="2685" priority="6">
      <formula>$K$199 &lt; 0</formula>
    </cfRule>
  </conditionalFormatting>
  <conditionalFormatting sqref="M177:O178 N199:O199">
    <cfRule type="expression" dxfId="2684" priority="1">
      <formula>$N$199 &gt; 0</formula>
    </cfRule>
    <cfRule type="expression" dxfId="2683" priority="2">
      <formula>$N$199 = 0</formula>
    </cfRule>
    <cfRule type="expression" dxfId="268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3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8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2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7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2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7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4F20D-1B59-448B-AB91-5E4A1FDF407E}">
  <sheetPr codeName="Sheet6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9" t="s">
        <v>0</v>
      </c>
      <c r="B1" s="250"/>
      <c r="C1" s="250"/>
      <c r="D1" s="250"/>
      <c r="E1" s="250"/>
      <c r="F1" s="251"/>
      <c r="G1" s="252">
        <v>44318</v>
      </c>
      <c r="H1" s="253"/>
      <c r="I1" s="254"/>
      <c r="J1" s="249" t="s">
        <v>1</v>
      </c>
      <c r="K1" s="250"/>
      <c r="L1" s="250"/>
      <c r="M1" s="250"/>
      <c r="N1" s="250"/>
      <c r="O1" s="251"/>
      <c r="Q1" s="249" t="s">
        <v>2</v>
      </c>
      <c r="R1" s="251"/>
    </row>
    <row r="2" spans="1:19" ht="17.25" customHeight="1">
      <c r="A2" s="1" t="s">
        <v>3</v>
      </c>
      <c r="B2" s="255" t="s">
        <v>4</v>
      </c>
      <c r="C2" s="256"/>
      <c r="D2" s="256"/>
      <c r="E2" s="256"/>
      <c r="F2" s="257"/>
      <c r="G2" s="258" t="s">
        <v>46</v>
      </c>
      <c r="H2" s="259"/>
      <c r="I2" s="260"/>
      <c r="J2" s="1" t="s">
        <v>3</v>
      </c>
      <c r="K2" s="255" t="s">
        <v>5</v>
      </c>
      <c r="L2" s="256"/>
      <c r="M2" s="256"/>
      <c r="N2" s="256"/>
      <c r="O2" s="257"/>
      <c r="Q2" s="2" t="s">
        <v>6</v>
      </c>
      <c r="R2" s="3">
        <v>0.375</v>
      </c>
    </row>
    <row r="3" spans="1:19" ht="17.25" customHeight="1" thickBot="1">
      <c r="A3" s="4" t="s">
        <v>7</v>
      </c>
      <c r="B3" s="261" t="s">
        <v>8</v>
      </c>
      <c r="C3" s="262"/>
      <c r="D3" s="262"/>
      <c r="E3" s="262"/>
      <c r="F3" s="263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76,007 KRW (1.27%)</v>
      </c>
      <c r="H3" s="265"/>
      <c r="I3" s="266"/>
      <c r="J3" s="4" t="s">
        <v>7</v>
      </c>
      <c r="K3" s="261" t="s">
        <v>9</v>
      </c>
      <c r="L3" s="262"/>
      <c r="M3" s="262"/>
      <c r="N3" s="262"/>
      <c r="O3" s="263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61" t="s">
        <v>12</v>
      </c>
      <c r="C4" s="262"/>
      <c r="D4" s="262"/>
      <c r="E4" s="262"/>
      <c r="F4" s="263"/>
      <c r="G4" s="258" t="s">
        <v>44</v>
      </c>
      <c r="H4" s="259"/>
      <c r="I4" s="260"/>
      <c r="J4" s="4" t="s">
        <v>11</v>
      </c>
      <c r="K4" s="261" t="s">
        <v>13</v>
      </c>
      <c r="L4" s="262"/>
      <c r="M4" s="262"/>
      <c r="N4" s="262"/>
      <c r="O4" s="263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261" t="s">
        <v>16</v>
      </c>
      <c r="C5" s="262"/>
      <c r="D5" s="262"/>
      <c r="E5" s="262"/>
      <c r="F5" s="263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63,934 KRW (1.12%)</v>
      </c>
      <c r="H5" s="265"/>
      <c r="I5" s="266"/>
      <c r="J5" s="4" t="s">
        <v>15</v>
      </c>
      <c r="K5" s="261" t="s">
        <v>17</v>
      </c>
      <c r="L5" s="262"/>
      <c r="M5" s="262"/>
      <c r="N5" s="262"/>
      <c r="O5" s="263"/>
    </row>
    <row r="6" spans="1:19">
      <c r="A6" s="4" t="s">
        <v>18</v>
      </c>
      <c r="B6" s="261" t="s">
        <v>19</v>
      </c>
      <c r="C6" s="262"/>
      <c r="D6" s="262"/>
      <c r="E6" s="262"/>
      <c r="F6" s="263"/>
      <c r="G6" s="258" t="s">
        <v>45</v>
      </c>
      <c r="H6" s="259"/>
      <c r="I6" s="260"/>
      <c r="J6" s="4" t="s">
        <v>18</v>
      </c>
      <c r="K6" s="261" t="s">
        <v>20</v>
      </c>
      <c r="L6" s="262"/>
      <c r="M6" s="262"/>
      <c r="N6" s="262"/>
      <c r="O6" s="263"/>
    </row>
    <row r="7" spans="1:19" ht="17.25" thickBot="1">
      <c r="A7" s="4" t="s">
        <v>21</v>
      </c>
      <c r="B7" s="261" t="s">
        <v>22</v>
      </c>
      <c r="C7" s="262"/>
      <c r="D7" s="262"/>
      <c r="E7" s="262"/>
      <c r="F7" s="263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51,490 KRW (0.86%)</v>
      </c>
      <c r="H7" s="265"/>
      <c r="I7" s="266"/>
      <c r="J7" s="4" t="s">
        <v>21</v>
      </c>
      <c r="K7" s="261" t="s">
        <v>23</v>
      </c>
      <c r="L7" s="262"/>
      <c r="M7" s="262"/>
      <c r="N7" s="262"/>
      <c r="O7" s="263"/>
    </row>
    <row r="8" spans="1:19" ht="17.25" thickBot="1">
      <c r="A8" s="4" t="s">
        <v>24</v>
      </c>
      <c r="B8" s="261" t="s">
        <v>25</v>
      </c>
      <c r="C8" s="262"/>
      <c r="D8" s="262"/>
      <c r="E8" s="262"/>
      <c r="F8" s="263"/>
      <c r="G8" s="258" t="s">
        <v>285</v>
      </c>
      <c r="H8" s="259"/>
      <c r="I8" s="260"/>
      <c r="J8" s="4" t="s">
        <v>24</v>
      </c>
      <c r="K8" s="261" t="s">
        <v>26</v>
      </c>
      <c r="L8" s="262"/>
      <c r="M8" s="262"/>
      <c r="N8" s="262"/>
      <c r="O8" s="263"/>
      <c r="Q8" s="249" t="s">
        <v>27</v>
      </c>
      <c r="R8" s="251"/>
    </row>
    <row r="9" spans="1:19" ht="17.25" thickBot="1">
      <c r="A9" s="4" t="s">
        <v>28</v>
      </c>
      <c r="B9" s="261"/>
      <c r="C9" s="262"/>
      <c r="D9" s="262"/>
      <c r="E9" s="262"/>
      <c r="F9" s="263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26,320 KRW (0.44%)</v>
      </c>
      <c r="H9" s="265"/>
      <c r="I9" s="266"/>
      <c r="J9" s="4" t="s">
        <v>28</v>
      </c>
      <c r="K9" s="261" t="s">
        <v>293</v>
      </c>
      <c r="L9" s="262"/>
      <c r="M9" s="262"/>
      <c r="N9" s="262"/>
      <c r="O9" s="263"/>
      <c r="Q9" s="2" t="s">
        <v>29</v>
      </c>
      <c r="R9" s="6">
        <v>10</v>
      </c>
    </row>
    <row r="10" spans="1:19">
      <c r="A10" s="4" t="s">
        <v>30</v>
      </c>
      <c r="B10" s="261"/>
      <c r="C10" s="262"/>
      <c r="D10" s="262"/>
      <c r="E10" s="262"/>
      <c r="F10" s="263"/>
      <c r="G10" s="258" t="s">
        <v>47</v>
      </c>
      <c r="H10" s="259"/>
      <c r="I10" s="260"/>
      <c r="J10" s="4" t="s">
        <v>30</v>
      </c>
      <c r="K10" s="261"/>
      <c r="L10" s="262"/>
      <c r="M10" s="262"/>
      <c r="N10" s="262"/>
      <c r="O10" s="263"/>
      <c r="Q10" s="2" t="s">
        <v>31</v>
      </c>
      <c r="R10" s="6">
        <v>100</v>
      </c>
    </row>
    <row r="11" spans="1:19" ht="17.25" thickBot="1">
      <c r="A11" s="7" t="s">
        <v>32</v>
      </c>
      <c r="B11" s="267"/>
      <c r="C11" s="268"/>
      <c r="D11" s="268"/>
      <c r="E11" s="268"/>
      <c r="F11" s="269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5,154 KRW (0.34%)</v>
      </c>
      <c r="H11" s="265"/>
      <c r="I11" s="266"/>
      <c r="J11" s="7" t="s">
        <v>32</v>
      </c>
      <c r="K11" s="267"/>
      <c r="L11" s="268"/>
      <c r="M11" s="268"/>
      <c r="N11" s="268"/>
      <c r="O11" s="269"/>
      <c r="Q11" s="61" t="s">
        <v>33</v>
      </c>
      <c r="R11" s="8">
        <v>1000</v>
      </c>
    </row>
    <row r="12" spans="1:19" ht="17.25" thickBot="1"/>
    <row r="13" spans="1:19" ht="17.25" customHeight="1" thickBot="1">
      <c r="A13" s="249" t="s">
        <v>34</v>
      </c>
      <c r="B13" s="250"/>
      <c r="C13" s="250"/>
      <c r="D13" s="250"/>
      <c r="E13" s="250"/>
      <c r="F13" s="250"/>
      <c r="G13" s="250"/>
      <c r="H13" s="250"/>
      <c r="I13" s="250"/>
      <c r="J13" s="250"/>
      <c r="K13" s="250"/>
      <c r="L13" s="250"/>
      <c r="M13" s="250"/>
      <c r="N13" s="250"/>
      <c r="O13" s="251"/>
      <c r="Q13" s="270"/>
      <c r="R13" s="270"/>
      <c r="S13" s="270"/>
    </row>
    <row r="14" spans="1:19" ht="17.25" customHeight="1" thickBot="1">
      <c r="A14" s="107" t="s">
        <v>35</v>
      </c>
      <c r="B14" s="249" t="s">
        <v>36</v>
      </c>
      <c r="C14" s="251"/>
      <c r="D14" s="249" t="s">
        <v>37</v>
      </c>
      <c r="E14" s="250"/>
      <c r="F14" s="251"/>
      <c r="G14" s="276">
        <f>_xlfn.IFNA(VLOOKUP(B14, 현재가테이블!$B$2:$D$200, 2, FALSE), "-")</f>
        <v>60874000</v>
      </c>
      <c r="H14" s="277"/>
      <c r="I14" s="278"/>
      <c r="J14" s="249" t="s">
        <v>38</v>
      </c>
      <c r="K14" s="250"/>
      <c r="L14" s="251"/>
      <c r="M14" s="279">
        <f>_xlfn.IFNA(VLOOKUP(B14, 현재가테이블!$B$2:$D$200, 3, FALSE), "-")</f>
        <v>-1.4936000099999999E-2</v>
      </c>
      <c r="N14" s="280"/>
      <c r="O14" s="281"/>
      <c r="Q14" s="270"/>
      <c r="R14" s="270"/>
      <c r="S14" s="270"/>
    </row>
    <row r="15" spans="1:19" ht="17.25" customHeight="1" thickBot="1">
      <c r="A15" s="271" t="s">
        <v>39</v>
      </c>
      <c r="B15" s="282" t="str">
        <f>TEXT($G$1, "[$-ko-KR]yyyy-mm-dd(ddd) ") &amp; "오전 00:00"</f>
        <v>2021-05-02(일) 오전 00:00</v>
      </c>
      <c r="C15" s="283"/>
      <c r="D15" s="272" t="str">
        <f>TEXT($G$1, "[$-ko-KR]yyyy-mm-dd(ddd) ") &amp; "오후 14:00"</f>
        <v>2021-05-02(일) 오후 14:00</v>
      </c>
      <c r="E15" s="273"/>
      <c r="F15" s="274"/>
      <c r="G15" s="272" t="str">
        <f>TEXT($G$1, "[$-ko-KR]yyyy-mm-dd(ddd) ") &amp; "오후 19:00"</f>
        <v>2021-05-02(일) 오후 19:00</v>
      </c>
      <c r="H15" s="273"/>
      <c r="I15" s="274"/>
      <c r="J15" s="272" t="str">
        <f>TEXT($G$1, "[$-ko-KR]yyyy-mm-dd(ddd) ") &amp; "오후 21:00"</f>
        <v>2021-05-02(일) 오후 21:00</v>
      </c>
      <c r="K15" s="273"/>
      <c r="L15" s="274"/>
      <c r="M15" s="272" t="str">
        <f>TEXT($G$1+1, "[$-ko-KR]yyyy-mm-dd(ddd) ") &amp; "오전 00:00"</f>
        <v>2021-05-03(월) 오전 00:00</v>
      </c>
      <c r="N15" s="273"/>
      <c r="O15" s="274"/>
      <c r="Q15" s="270"/>
      <c r="R15" s="270"/>
      <c r="S15" s="270"/>
    </row>
    <row r="16" spans="1:19" ht="17.25" customHeight="1" thickBot="1">
      <c r="A16" s="271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75"/>
      <c r="R16" s="275"/>
      <c r="S16" s="275"/>
    </row>
    <row r="17" spans="1:19" ht="17.25" customHeight="1" thickBot="1">
      <c r="A17" s="12" t="s">
        <v>264</v>
      </c>
      <c r="B17" s="13">
        <f>IF(NOT(ISBLANK(_xlfn.IFNA(VLOOKUP($A17, $A$40:$O$199, 2, FALSE), ))), _xlfn.IFNA(VLOOKUP($A17, $A$40:$O$199, 2, FALSE), ), "")</f>
        <v>183</v>
      </c>
      <c r="C17" s="14">
        <f>IF(NOT(ISBLANK(_xlfn.IFNA(VLOOKUP($A17, $A$40:$O$199, 3, FALSE), ))), _xlfn.IFNA(VLOOKUP($A17, $A$40:$O$199, 3, FALSE), ), "")</f>
        <v>-2.65957447E-2</v>
      </c>
      <c r="D17" s="13">
        <f>IF(NOT(ISBLANK(_xlfn.IFNA(VLOOKUP($A17, $A$40:$O$199, 4, FALSE), ))), _xlfn.IFNA(VLOOKUP($A17, $A$40:$O$199, 4, FALSE), ), "")</f>
        <v>181</v>
      </c>
      <c r="E17" s="14">
        <f>IF(NOT(ISBLANK(_xlfn.IFNA(VLOOKUP($A17, $A$40:$O$199, 5, FALSE), ))), _xlfn.IFNA(VLOOKUP($A17, $A$40:$O$199, 5, FALSE), ), "")</f>
        <v>-1.092896174863388E-2</v>
      </c>
      <c r="F17" s="16">
        <f>IF(NOT(ISBLANK(_xlfn.IFNA(VLOOKUP($A17, $A$40:$O$199, 6, FALSE), ))), _xlfn.IFNA(VLOOKUP($A17, $A$40:$O$199, 6, FALSE), ), "")</f>
        <v>-3278.688524590164</v>
      </c>
      <c r="G17" s="29">
        <f>IF(NOT(ISBLANK(_xlfn.IFNA(VLOOKUP($A17, $A$40:$O$199, 7, FALSE), ))), _xlfn.IFNA(VLOOKUP($A17, $A$40:$O$199, 7, FALSE), ), "")</f>
        <v>182</v>
      </c>
      <c r="H17" s="14">
        <f>IF(NOT(ISBLANK(_xlfn.IFNA(VLOOKUP($A17, $A$40:$O$199, 8, FALSE), ))), _xlfn.IFNA(VLOOKUP($A17, $A$40:$O$199, 8, FALSE), ), "")</f>
        <v>-5.4644808743169399E-3</v>
      </c>
      <c r="I17" s="96">
        <f>IF(NOT(ISBLANK(_xlfn.IFNA(VLOOKUP($A17, $A$40:$O$199, 9, FALSE), ))), _xlfn.IFNA(VLOOKUP($A17, $A$40:$O$199, 9, FALSE), ), "")</f>
        <v>-1639.344262295082</v>
      </c>
      <c r="J17" s="13">
        <f>IF(NOT(ISBLANK(_xlfn.IFNA(VLOOKUP($A17, $A$40:$O$199, 10, FALSE), ))), _xlfn.IFNA(VLOOKUP($A17, $A$40:$O$199, 10, FALSE), ), "")</f>
        <v>182</v>
      </c>
      <c r="K17" s="14">
        <f>IF(NOT(ISBLANK(_xlfn.IFNA(VLOOKUP($A17, $A$40:$O$199, 11, FALSE), ))), _xlfn.IFNA(VLOOKUP($A17, $A$40:$O$199, 11, FALSE), ), "")</f>
        <v>-5.4644808743169399E-3</v>
      </c>
      <c r="L17" s="16">
        <f>IF(NOT(ISBLANK(_xlfn.IFNA(VLOOKUP($A17, $A$40:$O$199, 12, FALSE), ))), _xlfn.IFNA(VLOOKUP($A17, $A$40:$O$199, 12, FALSE), ), "")</f>
        <v>-1639.344262295082</v>
      </c>
      <c r="M17" s="29">
        <f>IF(NOT(ISBLANK(_xlfn.IFNA(VLOOKUP($A17, $A$40:$O$199, 13, FALSE), ))), _xlfn.IFNA(VLOOKUP($A17, $A$40:$O$199, 13, FALSE), ), "")</f>
        <v>184</v>
      </c>
      <c r="N17" s="14">
        <f>IF(NOT(ISBLANK(_xlfn.IFNA(VLOOKUP($A17, $A$40:$O$199, 14, FALSE), ))), _xlfn.IFNA(VLOOKUP($A17, $A$40:$O$199, 14, FALSE), ), "")</f>
        <v>5.4644808743169399E-3</v>
      </c>
      <c r="O17" s="16">
        <f>IF(NOT(ISBLANK(_xlfn.IFNA(VLOOKUP($A17, $A$40:$O$199, 15, FALSE), ))), _xlfn.IFNA(VLOOKUP($A17, $A$40:$O$199, 15, FALSE), ), "")</f>
        <v>1639.344262295082</v>
      </c>
      <c r="Q17" s="270"/>
      <c r="R17" s="270"/>
      <c r="S17" s="270"/>
    </row>
    <row r="18" spans="1:19" ht="17.25" customHeight="1" thickBot="1">
      <c r="A18" s="17" t="s">
        <v>210</v>
      </c>
      <c r="B18" s="15">
        <f t="shared" ref="B18:B36" si="0">IF(NOT(ISBLANK(_xlfn.IFNA(VLOOKUP($A18, $A$40:$O$199, 2, FALSE), ))), _xlfn.IFNA(VLOOKUP($A18, $A$40:$O$199, 2, FALSE), ), "")</f>
        <v>214</v>
      </c>
      <c r="C18" s="32">
        <f t="shared" ref="C18:C36" si="1">IF(NOT(ISBLANK(_xlfn.IFNA(VLOOKUP($A18, $A$40:$O$199, 3, FALSE), ))), _xlfn.IFNA(VLOOKUP($A18, $A$40:$O$199, 3, FALSE), ), "")</f>
        <v>-2.7272727300000001E-2</v>
      </c>
      <c r="D18" s="15">
        <f t="shared" ref="D18:D36" si="2">IF(NOT(ISBLANK(_xlfn.IFNA(VLOOKUP($A18, $A$40:$O$199, 4, FALSE), ))), _xlfn.IFNA(VLOOKUP($A18, $A$40:$O$199, 4, FALSE), ), "")</f>
        <v>213</v>
      </c>
      <c r="E18" s="32">
        <f t="shared" ref="E18:E36" si="3">IF(NOT(ISBLANK(_xlfn.IFNA(VLOOKUP($A18, $A$40:$O$199, 5, FALSE), ))), _xlfn.IFNA(VLOOKUP($A18, $A$40:$O$199, 5, FALSE), ), "")</f>
        <v>-4.6728971962616819E-3</v>
      </c>
      <c r="F18" s="18">
        <f t="shared" ref="F18:F36" si="4">IF(NOT(ISBLANK(_xlfn.IFNA(VLOOKUP($A18, $A$40:$O$199, 6, FALSE), ))), _xlfn.IFNA(VLOOKUP($A18, $A$40:$O$199, 6, FALSE), ), "")</f>
        <v>-1401.8691588785045</v>
      </c>
      <c r="G18" s="31">
        <f t="shared" ref="G18:G36" si="5">IF(NOT(ISBLANK(_xlfn.IFNA(VLOOKUP($A18, $A$40:$O$199, 7, FALSE), ))), _xlfn.IFNA(VLOOKUP($A18, $A$40:$O$199, 7, FALSE), ), "")</f>
        <v>214</v>
      </c>
      <c r="H18" s="32">
        <f t="shared" ref="H18:H36" si="6">IF(NOT(ISBLANK(_xlfn.IFNA(VLOOKUP($A18, $A$40:$O$199, 8, FALSE), ))), _xlfn.IFNA(VLOOKUP($A18, $A$40:$O$199, 8, FALSE), ), "")</f>
        <v>0</v>
      </c>
      <c r="I18" s="97">
        <f t="shared" ref="I18:I36" si="7">IF(NOT(ISBLANK(_xlfn.IFNA(VLOOKUP($A18, $A$40:$O$199, 9, FALSE), ))), _xlfn.IFNA(VLOOKUP($A18, $A$40:$O$199, 9, FALSE), ), "")</f>
        <v>0</v>
      </c>
      <c r="J18" s="15">
        <f t="shared" ref="J18:J36" si="8">IF(NOT(ISBLANK(_xlfn.IFNA(VLOOKUP($A18, $A$40:$O$199, 10, FALSE), ))), _xlfn.IFNA(VLOOKUP($A18, $A$40:$O$199, 10, FALSE), ), "")</f>
        <v>216</v>
      </c>
      <c r="K18" s="32">
        <f t="shared" ref="K18:K36" si="9">IF(NOT(ISBLANK(_xlfn.IFNA(VLOOKUP($A18, $A$40:$O$199, 11, FALSE), ))), _xlfn.IFNA(VLOOKUP($A18, $A$40:$O$199, 11, FALSE), ), "")</f>
        <v>9.3457943925233638E-3</v>
      </c>
      <c r="L18" s="18">
        <f t="shared" ref="L18:L36" si="10">IF(NOT(ISBLANK(_xlfn.IFNA(VLOOKUP($A18, $A$40:$O$199, 12, FALSE), ))), _xlfn.IFNA(VLOOKUP($A18, $A$40:$O$199, 12, FALSE), ), "")</f>
        <v>2803.7383177570091</v>
      </c>
      <c r="M18" s="31">
        <f t="shared" ref="M18:M36" si="11">IF(NOT(ISBLANK(_xlfn.IFNA(VLOOKUP($A18, $A$40:$O$199, 13, FALSE), ))), _xlfn.IFNA(VLOOKUP($A18, $A$40:$O$199, 13, FALSE), ), "")</f>
        <v>219</v>
      </c>
      <c r="N18" s="32">
        <f t="shared" ref="N18:N36" si="12">IF(NOT(ISBLANK(_xlfn.IFNA(VLOOKUP($A18, $A$40:$O$199, 14, FALSE), ))), _xlfn.IFNA(VLOOKUP($A18, $A$40:$O$199, 14, FALSE), ), "")</f>
        <v>2.336448598130841E-2</v>
      </c>
      <c r="O18" s="18">
        <f t="shared" ref="O18:O36" si="13">IF(NOT(ISBLANK(_xlfn.IFNA(VLOOKUP($A18, $A$40:$O$199, 15, FALSE), ))), _xlfn.IFNA(VLOOKUP($A18, $A$40:$O$199, 15, FALSE), ), "")</f>
        <v>7009.3457943925232</v>
      </c>
      <c r="Q18" s="270"/>
      <c r="R18" s="270"/>
      <c r="S18" s="270"/>
    </row>
    <row r="19" spans="1:19" ht="17.25" customHeight="1" thickBot="1">
      <c r="A19" s="17" t="s">
        <v>88</v>
      </c>
      <c r="B19" s="15">
        <f t="shared" si="0"/>
        <v>653</v>
      </c>
      <c r="C19" s="32">
        <f t="shared" si="1"/>
        <v>-2.82738095E-2</v>
      </c>
      <c r="D19" s="15">
        <f t="shared" si="2"/>
        <v>635</v>
      </c>
      <c r="E19" s="32">
        <f t="shared" si="3"/>
        <v>-2.7565084226646247E-2</v>
      </c>
      <c r="F19" s="18">
        <f t="shared" si="4"/>
        <v>-8269.5252679938749</v>
      </c>
      <c r="G19" s="31">
        <f t="shared" si="5"/>
        <v>636</v>
      </c>
      <c r="H19" s="32">
        <f t="shared" si="6"/>
        <v>-2.6033690658499236E-2</v>
      </c>
      <c r="I19" s="97">
        <f t="shared" si="7"/>
        <v>-7810.1071975497707</v>
      </c>
      <c r="J19" s="15">
        <f t="shared" si="8"/>
        <v>639</v>
      </c>
      <c r="K19" s="32">
        <f t="shared" si="9"/>
        <v>-2.1439509954058193E-2</v>
      </c>
      <c r="L19" s="18">
        <f t="shared" si="10"/>
        <v>-6431.8529862174573</v>
      </c>
      <c r="M19" s="31">
        <f t="shared" si="11"/>
        <v>649</v>
      </c>
      <c r="N19" s="32">
        <f t="shared" si="12"/>
        <v>-6.1255742725880554E-3</v>
      </c>
      <c r="O19" s="18">
        <f t="shared" si="13"/>
        <v>-1837.6722817764166</v>
      </c>
      <c r="Q19" s="275"/>
      <c r="R19" s="275"/>
      <c r="S19" s="275"/>
    </row>
    <row r="20" spans="1:19" ht="17.25" customHeight="1" thickBot="1">
      <c r="A20" s="17" t="s">
        <v>252</v>
      </c>
      <c r="B20" s="15">
        <f t="shared" si="0"/>
        <v>589</v>
      </c>
      <c r="C20" s="32">
        <f t="shared" si="1"/>
        <v>-2.9654036200000001E-2</v>
      </c>
      <c r="D20" s="15">
        <f t="shared" si="2"/>
        <v>581</v>
      </c>
      <c r="E20" s="32">
        <f t="shared" si="3"/>
        <v>-1.3582342954159592E-2</v>
      </c>
      <c r="F20" s="18">
        <f t="shared" si="4"/>
        <v>-4074.7028862478778</v>
      </c>
      <c r="G20" s="31">
        <f t="shared" si="5"/>
        <v>582</v>
      </c>
      <c r="H20" s="32">
        <f t="shared" si="6"/>
        <v>-1.1884550084889643E-2</v>
      </c>
      <c r="I20" s="97">
        <f t="shared" si="7"/>
        <v>-3565.3650254668928</v>
      </c>
      <c r="J20" s="15">
        <f t="shared" si="8"/>
        <v>586</v>
      </c>
      <c r="K20" s="32">
        <f t="shared" si="9"/>
        <v>-5.0933786078098476E-3</v>
      </c>
      <c r="L20" s="18">
        <f t="shared" si="10"/>
        <v>-1528.0135823429544</v>
      </c>
      <c r="M20" s="31">
        <f t="shared" si="11"/>
        <v>587</v>
      </c>
      <c r="N20" s="32">
        <f t="shared" si="12"/>
        <v>-3.3955857385398981E-3</v>
      </c>
      <c r="O20" s="18">
        <f t="shared" si="13"/>
        <v>-1018.6757215619695</v>
      </c>
      <c r="Q20" s="275"/>
      <c r="R20" s="275"/>
      <c r="S20" s="275"/>
    </row>
    <row r="21" spans="1:19" ht="17.25" customHeight="1" thickBot="1">
      <c r="A21" s="19" t="s">
        <v>284</v>
      </c>
      <c r="B21" s="20">
        <f t="shared" si="0"/>
        <v>470</v>
      </c>
      <c r="C21" s="21">
        <f t="shared" si="1"/>
        <v>-3.2921810699999998E-2</v>
      </c>
      <c r="D21" s="20">
        <f t="shared" si="2"/>
        <v>462</v>
      </c>
      <c r="E21" s="21">
        <f t="shared" si="3"/>
        <v>-1.7021276595744681E-2</v>
      </c>
      <c r="F21" s="22">
        <f t="shared" si="4"/>
        <v>-5106.3829787234044</v>
      </c>
      <c r="G21" s="30">
        <f t="shared" si="5"/>
        <v>462</v>
      </c>
      <c r="H21" s="21">
        <f t="shared" si="6"/>
        <v>-1.7021276595744681E-2</v>
      </c>
      <c r="I21" s="101">
        <f t="shared" si="7"/>
        <v>-5106.3829787234044</v>
      </c>
      <c r="J21" s="20">
        <f t="shared" si="8"/>
        <v>465</v>
      </c>
      <c r="K21" s="21">
        <f t="shared" si="9"/>
        <v>-1.0638297872340425E-2</v>
      </c>
      <c r="L21" s="22">
        <f t="shared" si="10"/>
        <v>-3191.4893617021276</v>
      </c>
      <c r="M21" s="30">
        <f t="shared" si="11"/>
        <v>469</v>
      </c>
      <c r="N21" s="21">
        <f t="shared" si="12"/>
        <v>-2.1276595744680851E-3</v>
      </c>
      <c r="O21" s="22">
        <f t="shared" si="13"/>
        <v>-638.29787234042556</v>
      </c>
      <c r="Q21" s="275"/>
      <c r="R21" s="275"/>
      <c r="S21" s="275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75"/>
      <c r="R22" s="275"/>
      <c r="S22" s="275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5"/>
      <c r="R23" s="275"/>
      <c r="S23" s="275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5"/>
      <c r="R24" s="275"/>
      <c r="S24" s="275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84"/>
      <c r="R26" s="285"/>
      <c r="S26" s="286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7"/>
      <c r="R27" s="288"/>
      <c r="S27" s="289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0"/>
      <c r="R28" s="291"/>
      <c r="S28" s="292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5"/>
      <c r="R29" s="275"/>
      <c r="S29" s="275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0"/>
      <c r="R30" s="270"/>
      <c r="S30" s="270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0"/>
      <c r="R31" s="270"/>
      <c r="S31" s="270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75"/>
      <c r="R32" s="275"/>
      <c r="S32" s="275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5"/>
      <c r="R33" s="275"/>
      <c r="S33" s="275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5"/>
      <c r="R34" s="275"/>
      <c r="S34" s="275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7"/>
      <c r="R35" s="298"/>
      <c r="S35" s="299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00"/>
      <c r="R36" s="301"/>
      <c r="S36" s="302"/>
    </row>
    <row r="37" spans="1:19" ht="17.25" customHeight="1" thickBot="1">
      <c r="A37" s="26" t="s">
        <v>42</v>
      </c>
      <c r="B37" s="306">
        <v>300000</v>
      </c>
      <c r="C37" s="307"/>
      <c r="D37" s="26" t="s">
        <v>43</v>
      </c>
      <c r="E37" s="27">
        <f>IF(COUNT(E17:E26), SUM(E17:E26) / COUNT(E17:E26), 0)</f>
        <v>-1.4754112544289216E-2</v>
      </c>
      <c r="F37" s="28">
        <f>SUM(F17:F26)</f>
        <v>-22131.168816433827</v>
      </c>
      <c r="G37" s="26" t="s">
        <v>43</v>
      </c>
      <c r="H37" s="27">
        <f>IF(COUNT(H17:H26), SUM(H17:H26) / COUNT(H17:H26), 0)</f>
        <v>-1.2080799642690102E-2</v>
      </c>
      <c r="I37" s="28">
        <f>SUM(I17:I26)</f>
        <v>-18121.199464035148</v>
      </c>
      <c r="J37" s="26" t="s">
        <v>43</v>
      </c>
      <c r="K37" s="27">
        <f>IF(COUNT(K17:K26), SUM(K17:K26) / COUNT(K17:K26), 0)</f>
        <v>-6.6579745832004086E-3</v>
      </c>
      <c r="L37" s="28">
        <f>SUM(L17:L26)</f>
        <v>-9986.9618748006123</v>
      </c>
      <c r="M37" s="26" t="s">
        <v>43</v>
      </c>
      <c r="N37" s="27">
        <f>IF(COUNT(N17:N26), SUM(N17:N26) / COUNT(N17:N26), 0)</f>
        <v>3.4360294540058622E-3</v>
      </c>
      <c r="O37" s="28">
        <f>SUM(O17:O26)</f>
        <v>5154.0441810087932</v>
      </c>
      <c r="Q37" s="303"/>
      <c r="R37" s="304"/>
      <c r="S37" s="305"/>
    </row>
    <row r="38" spans="1:19" ht="17.25" customHeight="1"/>
    <row r="39" spans="1:19" ht="17.25" customHeight="1" thickBot="1"/>
    <row r="40" spans="1:19" ht="17.25" customHeight="1" thickBot="1">
      <c r="A40" s="249" t="s">
        <v>44</v>
      </c>
      <c r="B40" s="250"/>
      <c r="C40" s="250"/>
      <c r="D40" s="250"/>
      <c r="E40" s="250"/>
      <c r="F40" s="250"/>
      <c r="G40" s="250"/>
      <c r="H40" s="250"/>
      <c r="I40" s="250"/>
      <c r="J40" s="250"/>
      <c r="K40" s="250"/>
      <c r="L40" s="250"/>
      <c r="M40" s="250"/>
      <c r="N40" s="250"/>
      <c r="O40" s="251"/>
      <c r="Q40" s="270"/>
      <c r="R40" s="270"/>
      <c r="S40" s="270"/>
    </row>
    <row r="41" spans="1:19" ht="17.25" customHeight="1" thickBot="1">
      <c r="A41" s="107" t="s">
        <v>298</v>
      </c>
      <c r="B41" s="249" t="s">
        <v>49</v>
      </c>
      <c r="C41" s="251"/>
      <c r="D41" s="249" t="s">
        <v>58</v>
      </c>
      <c r="E41" s="250"/>
      <c r="F41" s="251"/>
      <c r="G41" s="276">
        <f>_xlfn.IFNA(VLOOKUP(B41, 현재가테이블!$B$2:$D$200, 2, FALSE), "-")</f>
        <v>60874000</v>
      </c>
      <c r="H41" s="277"/>
      <c r="I41" s="278"/>
      <c r="J41" s="249" t="s">
        <v>59</v>
      </c>
      <c r="K41" s="250"/>
      <c r="L41" s="251"/>
      <c r="M41" s="279">
        <f>_xlfn.IFNA(VLOOKUP(B41, 현재가테이블!$B$2:$D$200, 3, FALSE), "-")</f>
        <v>-1.4936000099999999E-2</v>
      </c>
      <c r="N41" s="280"/>
      <c r="O41" s="281"/>
      <c r="Q41" s="270"/>
      <c r="R41" s="270"/>
      <c r="S41" s="270"/>
    </row>
    <row r="42" spans="1:19" ht="17.25" customHeight="1" thickBot="1">
      <c r="A42" s="293" t="s">
        <v>55</v>
      </c>
      <c r="B42" s="295" t="str">
        <f>TEXT($G$1, "[$-ko-KR]yyyy-mm-dd(ddd) ") &amp; "오전 00:00"</f>
        <v>2021-05-02(일) 오전 00:00</v>
      </c>
      <c r="C42" s="296"/>
      <c r="D42" s="272" t="str">
        <f>TEXT($G$1, "[$-ko-KR]yyyy-mm-dd(ddd) ") &amp; "오후 14:00"</f>
        <v>2021-05-02(일) 오후 14:00</v>
      </c>
      <c r="E42" s="273"/>
      <c r="F42" s="274"/>
      <c r="G42" s="272" t="str">
        <f>TEXT($G$1, "[$-ko-KR]yyyy-mm-dd(ddd) ") &amp; "오후 19:00"</f>
        <v>2021-05-02(일) 오후 19:00</v>
      </c>
      <c r="H42" s="273"/>
      <c r="I42" s="274"/>
      <c r="J42" s="272" t="str">
        <f>TEXT($G$1, "[$-ko-KR]yyyy-mm-dd(ddd) ") &amp; "오후 21:00"</f>
        <v>2021-05-02(일) 오후 21:00</v>
      </c>
      <c r="K42" s="273"/>
      <c r="L42" s="274"/>
      <c r="M42" s="272" t="str">
        <f>TEXT($G$1+1, "[$-ko-KR]yyyy-mm-dd(ddd) ") &amp; "오전 00:00"</f>
        <v>2021-05-03(월) 오전 00:00</v>
      </c>
      <c r="N42" s="273"/>
      <c r="O42" s="274"/>
      <c r="Q42" s="270"/>
      <c r="R42" s="270"/>
      <c r="S42" s="270"/>
    </row>
    <row r="43" spans="1:19" ht="17.25" customHeight="1" thickBot="1">
      <c r="A43" s="294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75"/>
      <c r="R43" s="275"/>
      <c r="S43" s="275"/>
    </row>
    <row r="44" spans="1:19" ht="17.25" customHeight="1" thickBot="1">
      <c r="A44" s="12" t="s">
        <v>72</v>
      </c>
      <c r="B44" s="13">
        <v>37.4</v>
      </c>
      <c r="C44" s="14">
        <v>3.0303030299999999E-2</v>
      </c>
      <c r="D44" s="13">
        <v>36.5</v>
      </c>
      <c r="E44" s="14">
        <f>IF(ISNUMBER(D44), (D44 - $B44) / $B44, "")</f>
        <v>-2.4064171122994617E-2</v>
      </c>
      <c r="F44" s="16">
        <f>IF(ISNUMBER(D44), $B64 * E44, "")</f>
        <v>-7219.2513368983846</v>
      </c>
      <c r="G44" s="29">
        <v>36.5</v>
      </c>
      <c r="H44" s="14">
        <f>IF(ISNUMBER(G44), (G44 - $B44) / $B44, "")</f>
        <v>-2.4064171122994617E-2</v>
      </c>
      <c r="I44" s="96">
        <f>IF(ISNUMBER(G44), $B64 * H44, "")</f>
        <v>-7219.2513368983846</v>
      </c>
      <c r="J44" s="13">
        <v>36.700000000000003</v>
      </c>
      <c r="K44" s="14">
        <f>IF(ISNUMBER(J44), (J44 - $B44) / $B44, "")</f>
        <v>-1.8716577540106839E-2</v>
      </c>
      <c r="L44" s="16">
        <f>IF(ISNUMBER(J44), $B64 * K44, "")</f>
        <v>-5614.9732620320519</v>
      </c>
      <c r="M44" s="29">
        <v>36.799999999999997</v>
      </c>
      <c r="N44" s="14">
        <f>IF(ISNUMBER(M44), (M44 - $B44) / $B44, "")</f>
        <v>-1.6042780748663141E-2</v>
      </c>
      <c r="O44" s="16">
        <f>IF(ISNUMBER(M44), $B64 * N44, "")</f>
        <v>-4812.8342245989425</v>
      </c>
      <c r="Q44" s="270"/>
      <c r="R44" s="270"/>
      <c r="S44" s="270"/>
    </row>
    <row r="45" spans="1:19" ht="17.25" customHeight="1" thickBot="1">
      <c r="A45" s="17" t="s">
        <v>100</v>
      </c>
      <c r="B45" s="15">
        <v>8.5500000000000007</v>
      </c>
      <c r="C45" s="32">
        <v>2.3446659E-3</v>
      </c>
      <c r="D45" s="15">
        <v>8.4499999999999993</v>
      </c>
      <c r="E45" s="32">
        <f t="shared" ref="E45:E48" si="14">IF(ISNUMBER(D45), (D45 - $B45) / $B45, "")</f>
        <v>-1.1695906432748704E-2</v>
      </c>
      <c r="F45" s="18">
        <f>IF(ISNUMBER(D45), $B64 * E45, "")</f>
        <v>-3508.7719298246111</v>
      </c>
      <c r="G45" s="31">
        <v>8.41</v>
      </c>
      <c r="H45" s="32">
        <f t="shared" ref="H45:H48" si="15">IF(ISNUMBER(G45), (G45 - $B45) / $B45, "")</f>
        <v>-1.6374269005848017E-2</v>
      </c>
      <c r="I45" s="97">
        <f>IF(ISNUMBER(G45), $B64 * H45, "")</f>
        <v>-4912.2807017544046</v>
      </c>
      <c r="J45" s="15">
        <v>8.44</v>
      </c>
      <c r="K45" s="32">
        <f t="shared" ref="K45:K48" si="16">IF(ISNUMBER(J45), (J45 - $B45) / $B45, "")</f>
        <v>-1.2865497076023531E-2</v>
      </c>
      <c r="L45" s="18">
        <f>IF(ISNUMBER(J45), $B64 * K45, "")</f>
        <v>-3859.6491228070595</v>
      </c>
      <c r="M45" s="31">
        <v>8.44</v>
      </c>
      <c r="N45" s="32">
        <f t="shared" ref="N45:N48" si="17">IF(ISNUMBER(M45), (M45 - $B45) / $B45, "")</f>
        <v>-1.2865497076023531E-2</v>
      </c>
      <c r="O45" s="18">
        <f>IF(ISNUMBER(M45), $B64 * N45, "")</f>
        <v>-3859.6491228070595</v>
      </c>
      <c r="Q45" s="270"/>
      <c r="R45" s="270"/>
      <c r="S45" s="270"/>
    </row>
    <row r="46" spans="1:19" ht="17.25" customHeight="1" thickBot="1">
      <c r="A46" s="17" t="s">
        <v>228</v>
      </c>
      <c r="B46" s="15">
        <v>19.899999999999999</v>
      </c>
      <c r="C46" s="32">
        <v>-9.9502488000000004E-3</v>
      </c>
      <c r="D46" s="15">
        <v>20.100000000000001</v>
      </c>
      <c r="E46" s="32">
        <f t="shared" si="14"/>
        <v>1.0050251256281551E-2</v>
      </c>
      <c r="F46" s="18">
        <f>IF(ISNUMBER(D46), $B64 * E46, "")</f>
        <v>3015.0753768844652</v>
      </c>
      <c r="G46" s="31">
        <v>20.399999999999999</v>
      </c>
      <c r="H46" s="32">
        <f t="shared" si="15"/>
        <v>2.5125628140703519E-2</v>
      </c>
      <c r="I46" s="97">
        <f>IF(ISNUMBER(G46), $B64 * H46, "")</f>
        <v>7537.6884422110561</v>
      </c>
      <c r="J46" s="15">
        <v>20.5</v>
      </c>
      <c r="K46" s="32">
        <f t="shared" si="16"/>
        <v>3.0150753768844296E-2</v>
      </c>
      <c r="L46" s="18">
        <f>IF(ISNUMBER(J46), $B64 * K46, "")</f>
        <v>9045.2261306532891</v>
      </c>
      <c r="M46" s="31">
        <v>20.6</v>
      </c>
      <c r="N46" s="32">
        <f t="shared" si="17"/>
        <v>3.517587939698507E-2</v>
      </c>
      <c r="O46" s="18">
        <f>IF(ISNUMBER(M46), $B64 * N46, "")</f>
        <v>10552.76381909552</v>
      </c>
      <c r="Q46" s="275"/>
      <c r="R46" s="275"/>
      <c r="S46" s="275"/>
    </row>
    <row r="47" spans="1:19" ht="17.25" customHeight="1" thickBot="1">
      <c r="A47" s="17" t="s">
        <v>220</v>
      </c>
      <c r="B47" s="15">
        <v>20.2</v>
      </c>
      <c r="C47" s="32">
        <v>-1.9417475699999999E-2</v>
      </c>
      <c r="D47" s="15">
        <v>20.100000000000001</v>
      </c>
      <c r="E47" s="32">
        <f t="shared" si="14"/>
        <v>-4.9504950495048447E-3</v>
      </c>
      <c r="F47" s="18">
        <f>IF(ISNUMBER(D47), $B64 * E47, "")</f>
        <v>-1485.1485148514535</v>
      </c>
      <c r="G47" s="31">
        <v>20.100000000000001</v>
      </c>
      <c r="H47" s="32">
        <f t="shared" si="15"/>
        <v>-4.9504950495048447E-3</v>
      </c>
      <c r="I47" s="97">
        <f>IF(ISNUMBER(G47), $B64 * H47, "")</f>
        <v>-1485.1485148514535</v>
      </c>
      <c r="J47" s="15">
        <v>20.100000000000001</v>
      </c>
      <c r="K47" s="32">
        <f t="shared" si="16"/>
        <v>-4.9504950495048447E-3</v>
      </c>
      <c r="L47" s="18">
        <f>IF(ISNUMBER(J47), $B64 * K47, "")</f>
        <v>-1485.1485148514535</v>
      </c>
      <c r="M47" s="31">
        <v>20.3</v>
      </c>
      <c r="N47" s="32">
        <f t="shared" si="17"/>
        <v>4.9504950495050208E-3</v>
      </c>
      <c r="O47" s="18">
        <f>IF(ISNUMBER(M47), $B64 * N47, "")</f>
        <v>1485.1485148515062</v>
      </c>
      <c r="Q47" s="275"/>
      <c r="R47" s="275"/>
      <c r="S47" s="275"/>
    </row>
    <row r="48" spans="1:19" ht="17.25" customHeight="1" thickBot="1">
      <c r="A48" s="19" t="s">
        <v>222</v>
      </c>
      <c r="B48" s="20">
        <v>20.100000000000001</v>
      </c>
      <c r="C48" s="21">
        <v>-1.9512195100000001E-2</v>
      </c>
      <c r="D48" s="20">
        <v>20</v>
      </c>
      <c r="E48" s="21">
        <f t="shared" si="14"/>
        <v>-4.9751243781095229E-3</v>
      </c>
      <c r="F48" s="22">
        <f>IF(ISNUMBER(D48), $B64 * E48, "")</f>
        <v>-1492.5373134328568</v>
      </c>
      <c r="G48" s="30">
        <v>19.899999999999999</v>
      </c>
      <c r="H48" s="21">
        <f t="shared" si="15"/>
        <v>-9.9502487562190458E-3</v>
      </c>
      <c r="I48" s="101">
        <f>IF(ISNUMBER(G48), $B64 * H48, "")</f>
        <v>-2985.0746268657135</v>
      </c>
      <c r="J48" s="20">
        <v>20</v>
      </c>
      <c r="K48" s="21">
        <f t="shared" si="16"/>
        <v>-4.9751243781095229E-3</v>
      </c>
      <c r="L48" s="22">
        <f>IF(ISNUMBER(J48), $B64 * K48, "")</f>
        <v>-1492.5373134328568</v>
      </c>
      <c r="M48" s="30">
        <v>20.3</v>
      </c>
      <c r="N48" s="21">
        <f t="shared" si="17"/>
        <v>9.9502487562188689E-3</v>
      </c>
      <c r="O48" s="22">
        <f>IF(ISNUMBER(M48), $B64 * N48, "")</f>
        <v>2985.0746268656608</v>
      </c>
      <c r="Q48" s="275"/>
      <c r="R48" s="275"/>
      <c r="S48" s="275"/>
    </row>
    <row r="49" spans="1:19" ht="17.25" customHeight="1" thickBot="1">
      <c r="A49" s="17" t="s">
        <v>198</v>
      </c>
      <c r="B49" s="102">
        <v>31.7</v>
      </c>
      <c r="C49" s="103">
        <v>-2.1604938300000001E-2</v>
      </c>
      <c r="D49" s="102">
        <v>31.5</v>
      </c>
      <c r="E49" s="103">
        <f>IF(ISNUMBER(D49), (D49 - $B49) / $B49, "")</f>
        <v>-6.3091482649842053E-3</v>
      </c>
      <c r="F49" s="104">
        <f>IF(ISNUMBER(D49), $B64 * E49, "")</f>
        <v>-1892.7444794952617</v>
      </c>
      <c r="G49" s="105">
        <v>31.4</v>
      </c>
      <c r="H49" s="103">
        <f>IF(ISNUMBER(G49), (G49 - $B49) / $B49, "")</f>
        <v>-9.4637223974763634E-3</v>
      </c>
      <c r="I49" s="106">
        <f>IF(ISNUMBER(G49), $B64 * H49, "")</f>
        <v>-2839.1167192429089</v>
      </c>
      <c r="J49" s="102">
        <v>31.4</v>
      </c>
      <c r="K49" s="103">
        <f>IF(ISNUMBER(J49), (J49 - $B49) / $B49, "")</f>
        <v>-9.4637223974763634E-3</v>
      </c>
      <c r="L49" s="104">
        <f>IF(ISNUMBER(J49), $B64 * K49, "")</f>
        <v>-2839.1167192429089</v>
      </c>
      <c r="M49" s="105">
        <v>31.6</v>
      </c>
      <c r="N49" s="103">
        <f>IF(ISNUMBER(M49), (M49 - $B49) / $B49, "")</f>
        <v>-3.1545741324920462E-3</v>
      </c>
      <c r="O49" s="104">
        <f>IF(ISNUMBER(M49), $B64 * N49, "")</f>
        <v>-946.37223974761389</v>
      </c>
      <c r="Q49" s="275"/>
      <c r="R49" s="275"/>
      <c r="S49" s="275"/>
    </row>
    <row r="50" spans="1:19" ht="17.25" customHeight="1" thickBot="1">
      <c r="A50" s="17" t="s">
        <v>266</v>
      </c>
      <c r="B50" s="15">
        <v>93.6</v>
      </c>
      <c r="C50" s="32">
        <v>-2.19435737E-2</v>
      </c>
      <c r="D50" s="15">
        <v>93.3</v>
      </c>
      <c r="E50" s="32">
        <f t="shared" ref="E50:E53" si="18">IF(ISNUMBER(D50), (D50 - $B50) / $B50, "")</f>
        <v>-3.2051282051281751E-3</v>
      </c>
      <c r="F50" s="18">
        <f>IF(ISNUMBER(D50), $B64 * E50, "")</f>
        <v>-961.53846153845257</v>
      </c>
      <c r="G50" s="31">
        <v>94</v>
      </c>
      <c r="H50" s="32">
        <f t="shared" ref="H50:H53" si="19">IF(ISNUMBER(G50), (G50 - $B50) / $B50, "")</f>
        <v>4.2735042735043346E-3</v>
      </c>
      <c r="I50" s="97">
        <f>IF(ISNUMBER(G50), $B64 * H50, "")</f>
        <v>1282.0512820513004</v>
      </c>
      <c r="J50" s="15">
        <v>94.5</v>
      </c>
      <c r="K50" s="32">
        <f t="shared" ref="K50:K53" si="20">IF(ISNUMBER(J50), (J50 - $B50) / $B50, "")</f>
        <v>9.6153846153846766E-3</v>
      </c>
      <c r="L50" s="18">
        <f>IF(ISNUMBER(J50), $B64 * K50, "")</f>
        <v>2884.6153846154029</v>
      </c>
      <c r="M50" s="31">
        <v>95.4</v>
      </c>
      <c r="N50" s="32">
        <f t="shared" ref="N50:N53" si="21">IF(ISNUMBER(M50), (M50 - $B50) / $B50, "")</f>
        <v>1.9230769230769353E-2</v>
      </c>
      <c r="O50" s="18">
        <f>IF(ISNUMBER(M50), $B64 * N50, "")</f>
        <v>5769.2307692308059</v>
      </c>
      <c r="Q50" s="275"/>
      <c r="R50" s="275"/>
      <c r="S50" s="275"/>
    </row>
    <row r="51" spans="1:19" ht="17.25" customHeight="1" thickBot="1">
      <c r="A51" s="17" t="s">
        <v>154</v>
      </c>
      <c r="B51" s="15">
        <v>22.2</v>
      </c>
      <c r="C51" s="32">
        <v>-2.2026431700000002E-2</v>
      </c>
      <c r="D51" s="15">
        <v>21.9</v>
      </c>
      <c r="E51" s="32">
        <f t="shared" si="18"/>
        <v>-1.3513513513513545E-2</v>
      </c>
      <c r="F51" s="18">
        <f>IF(ISNUMBER(D51), $B64 * E51, "")</f>
        <v>-4054.0540540540637</v>
      </c>
      <c r="G51" s="31">
        <v>22</v>
      </c>
      <c r="H51" s="32">
        <f t="shared" si="19"/>
        <v>-9.0090090090089777E-3</v>
      </c>
      <c r="I51" s="97">
        <f>IF(ISNUMBER(G51), $B64 * H51, "")</f>
        <v>-2702.7027027026934</v>
      </c>
      <c r="J51" s="15">
        <v>22.1</v>
      </c>
      <c r="K51" s="32">
        <f t="shared" si="20"/>
        <v>-4.5045045045044091E-3</v>
      </c>
      <c r="L51" s="18">
        <f>IF(ISNUMBER(J51), $B64 * K51, "")</f>
        <v>-1351.3513513513228</v>
      </c>
      <c r="M51" s="31">
        <v>22.3</v>
      </c>
      <c r="N51" s="32">
        <f t="shared" si="21"/>
        <v>4.5045045045045687E-3</v>
      </c>
      <c r="O51" s="18">
        <f>IF(ISNUMBER(M51), $B64 * N51, "")</f>
        <v>1351.3513513513706</v>
      </c>
      <c r="Q51" s="275"/>
      <c r="R51" s="275"/>
      <c r="S51" s="275"/>
    </row>
    <row r="52" spans="1:19" ht="17.25" customHeight="1" thickBot="1">
      <c r="A52" s="17" t="s">
        <v>236</v>
      </c>
      <c r="B52" s="15">
        <v>77.3</v>
      </c>
      <c r="C52" s="32">
        <v>-2.3989898999999999E-2</v>
      </c>
      <c r="D52" s="15">
        <v>76.099999999999994</v>
      </c>
      <c r="E52" s="32">
        <f t="shared" si="18"/>
        <v>-1.5523932729624875E-2</v>
      </c>
      <c r="F52" s="18">
        <f>IF(ISNUMBER(D52), $B64 * E52, "")</f>
        <v>-4657.1798188874627</v>
      </c>
      <c r="G52" s="31">
        <v>75.599999999999994</v>
      </c>
      <c r="H52" s="32">
        <f t="shared" si="19"/>
        <v>-2.1992238033635224E-2</v>
      </c>
      <c r="I52" s="97">
        <f>IF(ISNUMBER(G52), $B64 * H52, "")</f>
        <v>-6597.6714100905674</v>
      </c>
      <c r="J52" s="15">
        <v>76.099999999999994</v>
      </c>
      <c r="K52" s="32">
        <f t="shared" si="20"/>
        <v>-1.5523932729624875E-2</v>
      </c>
      <c r="L52" s="18">
        <f>IF(ISNUMBER(J52), $B64 * K52, "")</f>
        <v>-4657.1798188874627</v>
      </c>
      <c r="M52" s="31">
        <v>77.2</v>
      </c>
      <c r="N52" s="32">
        <f t="shared" si="21"/>
        <v>-1.2936610608019965E-3</v>
      </c>
      <c r="O52" s="18">
        <f>IF(ISNUMBER(M52), $B64 * N52, "")</f>
        <v>-388.09831824059893</v>
      </c>
      <c r="Q52" s="33"/>
      <c r="R52" s="33"/>
    </row>
    <row r="53" spans="1:19" ht="17.25" customHeight="1" thickBot="1">
      <c r="A53" s="23" t="s">
        <v>214</v>
      </c>
      <c r="B53" s="24">
        <v>24.2</v>
      </c>
      <c r="C53" s="25">
        <v>-2.4193548400000001E-2</v>
      </c>
      <c r="D53" s="24">
        <v>24.1</v>
      </c>
      <c r="E53" s="25">
        <f t="shared" si="18"/>
        <v>-4.1322314049585893E-3</v>
      </c>
      <c r="F53" s="100">
        <f>IF(ISNUMBER(D53), $B64 * E53, "")</f>
        <v>-1239.6694214875768</v>
      </c>
      <c r="G53" s="98">
        <v>24</v>
      </c>
      <c r="H53" s="25">
        <f t="shared" si="19"/>
        <v>-8.2644628099173261E-3</v>
      </c>
      <c r="I53" s="99">
        <f>IF(ISNUMBER(G53), $B64 * H53, "")</f>
        <v>-2479.3388429751976</v>
      </c>
      <c r="J53" s="24">
        <v>24.2</v>
      </c>
      <c r="K53" s="25">
        <f t="shared" si="20"/>
        <v>0</v>
      </c>
      <c r="L53" s="100">
        <f>IF(ISNUMBER(J53), $B64 * K53, "")</f>
        <v>0</v>
      </c>
      <c r="M53" s="98">
        <v>24.5</v>
      </c>
      <c r="N53" s="25">
        <f t="shared" si="21"/>
        <v>1.2396694214876063E-2</v>
      </c>
      <c r="O53" s="100">
        <f>IF(ISNUMBER(M53), $B64 * N53, "")</f>
        <v>3719.0082644628187</v>
      </c>
      <c r="Q53" s="284"/>
      <c r="R53" s="285"/>
      <c r="S53" s="286"/>
    </row>
    <row r="54" spans="1:19" ht="17.25" customHeight="1">
      <c r="A54" s="12" t="s">
        <v>152</v>
      </c>
      <c r="B54" s="13">
        <v>46.9</v>
      </c>
      <c r="C54" s="14">
        <v>-2.4948024900000001E-2</v>
      </c>
      <c r="D54" s="13">
        <v>48.7</v>
      </c>
      <c r="E54" s="14">
        <f>IF(ISNUMBER(D54), (D54 - $B54) / $B54, "")</f>
        <v>3.8379530916844443E-2</v>
      </c>
      <c r="F54" s="16">
        <f>IF(ISNUMBER(D54), $B64 * E54, "")</f>
        <v>11513.859275053333</v>
      </c>
      <c r="G54" s="29">
        <v>49.2</v>
      </c>
      <c r="H54" s="14">
        <f>IF(ISNUMBER(G54), (G54 - $B54) / $B54, "")</f>
        <v>4.9040511727078982E-2</v>
      </c>
      <c r="I54" s="96">
        <f>IF(ISNUMBER(G54), $B64 * H54, "")</f>
        <v>14712.153518123694</v>
      </c>
      <c r="J54" s="13">
        <v>50</v>
      </c>
      <c r="K54" s="14">
        <f>IF(ISNUMBER(J54), (J54 - $B54) / $B54, "")</f>
        <v>6.6098081023454186E-2</v>
      </c>
      <c r="L54" s="16">
        <f>IF(ISNUMBER(J54), $B64 * K54, "")</f>
        <v>19829.424307036257</v>
      </c>
      <c r="M54" s="29">
        <v>50</v>
      </c>
      <c r="N54" s="14">
        <f>IF(ISNUMBER(M54), (M54 - $B54) / $B54, "")</f>
        <v>6.6098081023454186E-2</v>
      </c>
      <c r="O54" s="16">
        <f>IF(ISNUMBER(M54), $B64 * N54, "")</f>
        <v>19829.424307036257</v>
      </c>
      <c r="Q54" s="287"/>
      <c r="R54" s="288"/>
      <c r="S54" s="289"/>
    </row>
    <row r="55" spans="1:19" ht="17.25" customHeight="1" thickBot="1">
      <c r="A55" s="17" t="s">
        <v>268</v>
      </c>
      <c r="B55" s="15">
        <v>97</v>
      </c>
      <c r="C55" s="32">
        <v>-2.5125628099999998E-2</v>
      </c>
      <c r="D55" s="15">
        <v>101</v>
      </c>
      <c r="E55" s="32">
        <f t="shared" ref="E55:E58" si="22">IF(ISNUMBER(D55), (D55 - $B55) / $B55, "")</f>
        <v>4.1237113402061855E-2</v>
      </c>
      <c r="F55" s="18">
        <f>IF(ISNUMBER(D55), $B64 * E55, "")</f>
        <v>12371.134020618556</v>
      </c>
      <c r="G55" s="31">
        <v>100</v>
      </c>
      <c r="H55" s="32">
        <f t="shared" ref="H55:H58" si="23">IF(ISNUMBER(G55), (G55 - $B55) / $B55, "")</f>
        <v>3.0927835051546393E-2</v>
      </c>
      <c r="I55" s="97">
        <f>IF(ISNUMBER(G55), $B64 * H55, "")</f>
        <v>9278.350515463917</v>
      </c>
      <c r="J55" s="15">
        <v>101</v>
      </c>
      <c r="K55" s="32">
        <f t="shared" ref="K55:K58" si="24">IF(ISNUMBER(J55), (J55 - $B55) / $B55, "")</f>
        <v>4.1237113402061855E-2</v>
      </c>
      <c r="L55" s="18">
        <f>IF(ISNUMBER(J55), $B64 * K55, "")</f>
        <v>12371.134020618556</v>
      </c>
      <c r="M55" s="31">
        <v>101</v>
      </c>
      <c r="N55" s="32">
        <f t="shared" ref="N55:N58" si="25">IF(ISNUMBER(M55), (M55 - $B55) / $B55, "")</f>
        <v>4.1237113402061855E-2</v>
      </c>
      <c r="O55" s="18">
        <f>IF(ISNUMBER(M55), $B64 * N55, "")</f>
        <v>12371.134020618556</v>
      </c>
      <c r="Q55" s="290"/>
      <c r="R55" s="291"/>
      <c r="S55" s="292"/>
    </row>
    <row r="56" spans="1:19" ht="17.25" customHeight="1" thickBot="1">
      <c r="A56" s="17" t="s">
        <v>196</v>
      </c>
      <c r="B56" s="15">
        <v>21.9</v>
      </c>
      <c r="C56" s="32">
        <v>-2.6666666700000001E-2</v>
      </c>
      <c r="D56" s="15">
        <v>21.7</v>
      </c>
      <c r="E56" s="32">
        <f t="shared" si="22"/>
        <v>-9.1324200913241692E-3</v>
      </c>
      <c r="F56" s="18">
        <f>IF(ISNUMBER(D56), $B64 * E56, "")</f>
        <v>-2739.7260273972506</v>
      </c>
      <c r="G56" s="31">
        <v>21.6</v>
      </c>
      <c r="H56" s="32">
        <f t="shared" si="23"/>
        <v>-1.3698630136986172E-2</v>
      </c>
      <c r="I56" s="97">
        <f>IF(ISNUMBER(G56), $B64 * H56, "")</f>
        <v>-4109.5890410958518</v>
      </c>
      <c r="J56" s="15">
        <v>21.8</v>
      </c>
      <c r="K56" s="32">
        <f t="shared" si="24"/>
        <v>-4.5662100456620031E-3</v>
      </c>
      <c r="L56" s="18">
        <f>IF(ISNUMBER(J56), $B64 * K56, "")</f>
        <v>-1369.863013698601</v>
      </c>
      <c r="M56" s="31">
        <v>21.8</v>
      </c>
      <c r="N56" s="32">
        <f t="shared" si="25"/>
        <v>-4.5662100456620031E-3</v>
      </c>
      <c r="O56" s="18">
        <f>IF(ISNUMBER(M56), $B64 * N56, "")</f>
        <v>-1369.863013698601</v>
      </c>
      <c r="Q56" s="275"/>
      <c r="R56" s="275"/>
      <c r="S56" s="275"/>
    </row>
    <row r="57" spans="1:19" ht="17.25" customHeight="1" thickBot="1">
      <c r="A57" s="17" t="s">
        <v>186</v>
      </c>
      <c r="B57" s="15">
        <v>26.3</v>
      </c>
      <c r="C57" s="32">
        <v>-2.9520295200000001E-2</v>
      </c>
      <c r="D57" s="15">
        <v>27.2</v>
      </c>
      <c r="E57" s="32">
        <f t="shared" si="22"/>
        <v>3.4220532319391581E-2</v>
      </c>
      <c r="F57" s="18">
        <f>IF(ISNUMBER(D57), $B64 * E57, "")</f>
        <v>10266.159695817474</v>
      </c>
      <c r="G57" s="31">
        <v>27.3</v>
      </c>
      <c r="H57" s="32">
        <f t="shared" si="23"/>
        <v>3.8022813688212927E-2</v>
      </c>
      <c r="I57" s="97">
        <f>IF(ISNUMBER(G57), $B64 * H57, "")</f>
        <v>11406.844106463877</v>
      </c>
      <c r="J57" s="15">
        <v>27.6</v>
      </c>
      <c r="K57" s="32">
        <f t="shared" si="24"/>
        <v>4.9429657794676833E-2</v>
      </c>
      <c r="L57" s="18">
        <f>IF(ISNUMBER(J57), $B64 * K57, "")</f>
        <v>14828.897338403051</v>
      </c>
      <c r="M57" s="31">
        <v>27.8</v>
      </c>
      <c r="N57" s="32">
        <f t="shared" si="25"/>
        <v>5.7034220532319393E-2</v>
      </c>
      <c r="O57" s="18">
        <f>IF(ISNUMBER(M57), $B64 * N57, "")</f>
        <v>17110.266159695817</v>
      </c>
      <c r="Q57" s="270"/>
      <c r="R57" s="270"/>
      <c r="S57" s="270"/>
    </row>
    <row r="58" spans="1:19" ht="17.25" customHeight="1" thickBot="1">
      <c r="A58" s="19" t="s">
        <v>172</v>
      </c>
      <c r="B58" s="20">
        <v>28.2</v>
      </c>
      <c r="C58" s="21">
        <v>-3.0927835099999999E-2</v>
      </c>
      <c r="D58" s="20">
        <v>28.1</v>
      </c>
      <c r="E58" s="21">
        <f t="shared" si="22"/>
        <v>-3.5460992907800663E-3</v>
      </c>
      <c r="F58" s="22">
        <f>IF(ISNUMBER(D58), $B64 * E58, "")</f>
        <v>-1063.8297872340199</v>
      </c>
      <c r="G58" s="30">
        <v>27.9</v>
      </c>
      <c r="H58" s="21">
        <f t="shared" si="23"/>
        <v>-1.0638297872340451E-2</v>
      </c>
      <c r="I58" s="101">
        <f>IF(ISNUMBER(G58), $B64 * H58, "")</f>
        <v>-3191.4893617021353</v>
      </c>
      <c r="J58" s="20">
        <v>27.9</v>
      </c>
      <c r="K58" s="21">
        <f t="shared" si="24"/>
        <v>-1.0638297872340451E-2</v>
      </c>
      <c r="L58" s="22">
        <f>IF(ISNUMBER(J58), $B64 * K58, "")</f>
        <v>-3191.4893617021353</v>
      </c>
      <c r="M58" s="30">
        <v>28.5</v>
      </c>
      <c r="N58" s="21">
        <f t="shared" si="25"/>
        <v>1.0638297872340451E-2</v>
      </c>
      <c r="O58" s="22">
        <f>IF(ISNUMBER(M58), $B64 * N58, "")</f>
        <v>3191.4893617021353</v>
      </c>
      <c r="Q58" s="270"/>
      <c r="R58" s="270"/>
      <c r="S58" s="270"/>
    </row>
    <row r="59" spans="1:19" ht="17.25" customHeight="1" thickBot="1">
      <c r="A59" s="17" t="s">
        <v>218</v>
      </c>
      <c r="B59" s="102">
        <v>32.1</v>
      </c>
      <c r="C59" s="103">
        <v>-3.3132530100000002E-2</v>
      </c>
      <c r="D59" s="102">
        <v>31.5</v>
      </c>
      <c r="E59" s="103">
        <f>IF(ISNUMBER(D59), (D59 - $B59) / $B59, "")</f>
        <v>-1.8691588785046773E-2</v>
      </c>
      <c r="F59" s="104">
        <f>IF(ISNUMBER(D59), $B64 * E59, "")</f>
        <v>-5607.4766355140318</v>
      </c>
      <c r="G59" s="105">
        <v>31.8</v>
      </c>
      <c r="H59" s="103">
        <f>IF(ISNUMBER(G59), (G59 - $B59) / $B59, "")</f>
        <v>-9.3457943925233863E-3</v>
      </c>
      <c r="I59" s="106">
        <f>IF(ISNUMBER(G59), $B64 * H59, "")</f>
        <v>-2803.7383177570159</v>
      </c>
      <c r="J59" s="102">
        <v>31.8</v>
      </c>
      <c r="K59" s="103">
        <f>IF(ISNUMBER(J59), (J59 - $B59) / $B59, "")</f>
        <v>-9.3457943925233863E-3</v>
      </c>
      <c r="L59" s="104">
        <f>IF(ISNUMBER(J59), $B64 * K59, "")</f>
        <v>-2803.7383177570159</v>
      </c>
      <c r="M59" s="105">
        <v>32.1</v>
      </c>
      <c r="N59" s="103">
        <f>IF(ISNUMBER(M59), (M59 - $B59) / $B59, "")</f>
        <v>0</v>
      </c>
      <c r="O59" s="104">
        <f>IF(ISNUMBER(M59), $B64 * N59, "")</f>
        <v>0</v>
      </c>
      <c r="Q59" s="275"/>
      <c r="R59" s="275"/>
      <c r="S59" s="275"/>
    </row>
    <row r="60" spans="1:19" ht="17.25" customHeight="1" thickBot="1">
      <c r="A60" s="17" t="s">
        <v>254</v>
      </c>
      <c r="B60" s="15">
        <v>92.4</v>
      </c>
      <c r="C60" s="32">
        <v>-3.54906054E-2</v>
      </c>
      <c r="D60" s="15">
        <v>93.7</v>
      </c>
      <c r="E60" s="32">
        <f t="shared" ref="E60:E63" si="26">IF(ISNUMBER(D60), (D60 - $B60) / $B60, "")</f>
        <v>1.4069264069264037E-2</v>
      </c>
      <c r="F60" s="18">
        <f>IF(ISNUMBER(D60), $B64 * E60, "")</f>
        <v>4220.7792207792108</v>
      </c>
      <c r="G60" s="31">
        <v>93.9</v>
      </c>
      <c r="H60" s="32">
        <f t="shared" ref="H60:H63" si="27">IF(ISNUMBER(G60), (G60 - $B60) / $B60, "")</f>
        <v>1.6233766233766232E-2</v>
      </c>
      <c r="I60" s="97">
        <f>IF(ISNUMBER(G60), $B64 * H60, "")</f>
        <v>4870.1298701298692</v>
      </c>
      <c r="J60" s="15">
        <v>96</v>
      </c>
      <c r="K60" s="32">
        <f t="shared" ref="K60:K63" si="28">IF(ISNUMBER(J60), (J60 - $B60) / $B60, "")</f>
        <v>3.8961038961038898E-2</v>
      </c>
      <c r="L60" s="18">
        <f>IF(ISNUMBER(J60), $B64 * K60, "")</f>
        <v>11688.311688311669</v>
      </c>
      <c r="M60" s="31">
        <v>96.1</v>
      </c>
      <c r="N60" s="32">
        <f t="shared" ref="N60:N63" si="29">IF(ISNUMBER(M60), (M60 - $B60) / $B60, "")</f>
        <v>4.0043290043289916E-2</v>
      </c>
      <c r="O60" s="18">
        <f>IF(ISNUMBER(M60), $B64 * N60, "")</f>
        <v>12012.987012986974</v>
      </c>
      <c r="Q60" s="275"/>
      <c r="R60" s="275"/>
      <c r="S60" s="275"/>
    </row>
    <row r="61" spans="1:19" ht="17.25" customHeight="1" thickBot="1">
      <c r="A61" s="17" t="s">
        <v>65</v>
      </c>
      <c r="B61" s="15">
        <v>77.5</v>
      </c>
      <c r="C61" s="32">
        <v>-4.6740467399999999E-2</v>
      </c>
      <c r="D61" s="15">
        <v>76.7</v>
      </c>
      <c r="E61" s="32">
        <f t="shared" si="26"/>
        <v>-1.0322580645161254E-2</v>
      </c>
      <c r="F61" s="18">
        <f>IF(ISNUMBER(D61), $B64 * E61, "")</f>
        <v>-3096.7741935483764</v>
      </c>
      <c r="G61" s="31">
        <v>76</v>
      </c>
      <c r="H61" s="32">
        <f t="shared" si="27"/>
        <v>-1.935483870967742E-2</v>
      </c>
      <c r="I61" s="97">
        <f>IF(ISNUMBER(G61), $B64 * H61, "")</f>
        <v>-5806.4516129032263</v>
      </c>
      <c r="J61" s="15">
        <v>75.599999999999994</v>
      </c>
      <c r="K61" s="32">
        <f t="shared" si="28"/>
        <v>-2.4516129032258138E-2</v>
      </c>
      <c r="L61" s="18">
        <f>IF(ISNUMBER(J61), $B64 * K61, "")</f>
        <v>-7354.8387096774413</v>
      </c>
      <c r="M61" s="31">
        <v>75.8</v>
      </c>
      <c r="N61" s="32">
        <f t="shared" si="29"/>
        <v>-2.1935483870967779E-2</v>
      </c>
      <c r="O61" s="18">
        <f>IF(ISNUMBER(M61), $B64 * N61, "")</f>
        <v>-6580.6451612903338</v>
      </c>
      <c r="Q61" s="275"/>
      <c r="R61" s="275"/>
      <c r="S61" s="275"/>
    </row>
    <row r="62" spans="1:19" ht="17.25" customHeight="1">
      <c r="A62" s="17" t="s">
        <v>126</v>
      </c>
      <c r="B62" s="15">
        <v>70.7</v>
      </c>
      <c r="C62" s="32">
        <v>-4.9731182800000003E-2</v>
      </c>
      <c r="D62" s="15">
        <v>68</v>
      </c>
      <c r="E62" s="32">
        <f t="shared" si="26"/>
        <v>-3.8189533239038231E-2</v>
      </c>
      <c r="F62" s="18">
        <f>IF(ISNUMBER(D62), $B64 * E62, "")</f>
        <v>-11456.85997171147</v>
      </c>
      <c r="G62" s="31">
        <v>68</v>
      </c>
      <c r="H62" s="32">
        <f t="shared" si="27"/>
        <v>-3.8189533239038231E-2</v>
      </c>
      <c r="I62" s="97">
        <f>IF(ISNUMBER(G62), $B64 * H62, "")</f>
        <v>-11456.85997171147</v>
      </c>
      <c r="J62" s="15">
        <v>68.5</v>
      </c>
      <c r="K62" s="32">
        <f t="shared" si="28"/>
        <v>-3.1117397454031158E-2</v>
      </c>
      <c r="L62" s="18">
        <f>IF(ISNUMBER(J62), $B64 * K62, "")</f>
        <v>-9335.2192362093465</v>
      </c>
      <c r="M62" s="31">
        <v>68.7</v>
      </c>
      <c r="N62" s="32">
        <f t="shared" si="29"/>
        <v>-2.8288543140028287E-2</v>
      </c>
      <c r="O62" s="18">
        <f>IF(ISNUMBER(M62), $B64 * N62, "")</f>
        <v>-8486.5629420084861</v>
      </c>
      <c r="Q62" s="297"/>
      <c r="R62" s="298"/>
      <c r="S62" s="299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00"/>
      <c r="R63" s="301"/>
      <c r="S63" s="302"/>
    </row>
    <row r="64" spans="1:19" ht="17.25" customHeight="1" thickBot="1">
      <c r="A64" s="26" t="s">
        <v>301</v>
      </c>
      <c r="B64" s="306">
        <f>$B$37</f>
        <v>300000</v>
      </c>
      <c r="C64" s="307"/>
      <c r="D64" s="26" t="s">
        <v>302</v>
      </c>
      <c r="E64" s="27">
        <f>IF(COUNT(E44:E63), SUM(E44:E63) / COUNT(E44:E63), 0)</f>
        <v>-1.594483220477585E-3</v>
      </c>
      <c r="F64" s="28">
        <f>SUM(F44:F63)</f>
        <v>-9088.5543567222303</v>
      </c>
      <c r="G64" s="26" t="s">
        <v>302</v>
      </c>
      <c r="H64" s="27">
        <f>IF(COUNT(H44:H63), SUM(H44:H63) / COUNT(H44:H63), 0)</f>
        <v>-1.666929022124089E-3</v>
      </c>
      <c r="I64" s="28">
        <f>SUM(I44:I63)</f>
        <v>-9501.4954261073035</v>
      </c>
      <c r="J64" s="26" t="s">
        <v>302</v>
      </c>
      <c r="K64" s="27">
        <f>IF(COUNT(K44:K63), SUM(K44:K63) / COUNT(K44:K63), 0)</f>
        <v>4.437281425962906E-3</v>
      </c>
      <c r="L64" s="28">
        <f>SUM(L44:L63)</f>
        <v>25292.50412798857</v>
      </c>
      <c r="M64" s="26" t="s">
        <v>302</v>
      </c>
      <c r="N64" s="27">
        <f>IF(COUNT(N44:N63), SUM(N44:N63) / COUNT(N44:N63), 0)</f>
        <v>1.1216465471141364E-2</v>
      </c>
      <c r="O64" s="28">
        <f>SUM(O44:O63)</f>
        <v>63933.853185505781</v>
      </c>
      <c r="Q64" s="303"/>
      <c r="R64" s="304"/>
      <c r="S64" s="305"/>
    </row>
    <row r="65" spans="1:19" ht="17.25" customHeight="1"/>
    <row r="66" spans="1:19" ht="17.25" customHeight="1" thickBot="1"/>
    <row r="67" spans="1:19" ht="17.25" thickBot="1">
      <c r="A67" s="249" t="s">
        <v>45</v>
      </c>
      <c r="B67" s="250"/>
      <c r="C67" s="250"/>
      <c r="D67" s="250"/>
      <c r="E67" s="250"/>
      <c r="F67" s="250"/>
      <c r="G67" s="250"/>
      <c r="H67" s="250"/>
      <c r="I67" s="250"/>
      <c r="J67" s="250"/>
      <c r="K67" s="250"/>
      <c r="L67" s="250"/>
      <c r="M67" s="250"/>
      <c r="N67" s="250"/>
      <c r="O67" s="251"/>
      <c r="Q67" s="270"/>
      <c r="R67" s="270"/>
      <c r="S67" s="270"/>
    </row>
    <row r="68" spans="1:19" ht="17.25" thickBot="1">
      <c r="A68" s="107" t="s">
        <v>298</v>
      </c>
      <c r="B68" s="249" t="s">
        <v>49</v>
      </c>
      <c r="C68" s="251"/>
      <c r="D68" s="249" t="s">
        <v>58</v>
      </c>
      <c r="E68" s="250"/>
      <c r="F68" s="251"/>
      <c r="G68" s="276">
        <f>_xlfn.IFNA(VLOOKUP(B68, 현재가테이블!$B$2:$D$200, 2, FALSE), "-")</f>
        <v>60874000</v>
      </c>
      <c r="H68" s="277"/>
      <c r="I68" s="278"/>
      <c r="J68" s="249" t="s">
        <v>59</v>
      </c>
      <c r="K68" s="250"/>
      <c r="L68" s="251"/>
      <c r="M68" s="279">
        <f>_xlfn.IFNA(VLOOKUP(B68, 현재가테이블!$B$2:$D$200, 3, FALSE), "-")</f>
        <v>-1.4936000099999999E-2</v>
      </c>
      <c r="N68" s="280"/>
      <c r="O68" s="281"/>
      <c r="Q68" s="270"/>
      <c r="R68" s="270"/>
      <c r="S68" s="270"/>
    </row>
    <row r="69" spans="1:19" ht="17.25" thickBot="1">
      <c r="A69" s="293" t="s">
        <v>55</v>
      </c>
      <c r="B69" s="295" t="str">
        <f>TEXT($G$1, "[$-ko-KR]yyyy-mm-dd(ddd) ") &amp; "오전 00:00"</f>
        <v>2021-05-02(일) 오전 00:00</v>
      </c>
      <c r="C69" s="296"/>
      <c r="D69" s="272" t="str">
        <f>TEXT($G$1, "[$-ko-KR]yyyy-mm-dd(ddd) ") &amp; "오후 14:00"</f>
        <v>2021-05-02(일) 오후 14:00</v>
      </c>
      <c r="E69" s="273"/>
      <c r="F69" s="274"/>
      <c r="G69" s="272" t="str">
        <f>TEXT($G$1, "[$-ko-KR]yyyy-mm-dd(ddd) ") &amp; "오후 19:00"</f>
        <v>2021-05-02(일) 오후 19:00</v>
      </c>
      <c r="H69" s="273"/>
      <c r="I69" s="274"/>
      <c r="J69" s="272" t="str">
        <f>TEXT($G$1, "[$-ko-KR]yyyy-mm-dd(ddd) ") &amp; "오후 21:00"</f>
        <v>2021-05-02(일) 오후 21:00</v>
      </c>
      <c r="K69" s="273"/>
      <c r="L69" s="274"/>
      <c r="M69" s="272" t="str">
        <f>TEXT($G$1+1, "[$-ko-KR]yyyy-mm-dd(ddd) ") &amp; "오전 00:00"</f>
        <v>2021-05-03(월) 오전 00:00</v>
      </c>
      <c r="N69" s="273"/>
      <c r="O69" s="274"/>
      <c r="Q69" s="270"/>
      <c r="R69" s="270"/>
      <c r="S69" s="270"/>
    </row>
    <row r="70" spans="1:19" ht="17.25" thickBot="1">
      <c r="A70" s="294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75"/>
      <c r="R70" s="275"/>
      <c r="S70" s="275"/>
    </row>
    <row r="71" spans="1:19" ht="17.25" thickBot="1">
      <c r="A71" s="12" t="s">
        <v>250</v>
      </c>
      <c r="B71" s="13">
        <v>255</v>
      </c>
      <c r="C71" s="14">
        <v>0.10869565220000001</v>
      </c>
      <c r="D71" s="13">
        <v>240</v>
      </c>
      <c r="E71" s="14">
        <f>IF(ISNUMBER(D71), (D71 - $B71) / $B71, "")</f>
        <v>-5.8823529411764705E-2</v>
      </c>
      <c r="F71" s="16">
        <f>IF(ISNUMBER(D71), $B91 * E71, "")</f>
        <v>-17647.058823529413</v>
      </c>
      <c r="G71" s="29">
        <v>241</v>
      </c>
      <c r="H71" s="14">
        <f>IF(ISNUMBER(G71), (G71 - $B71) / $B71, "")</f>
        <v>-5.4901960784313725E-2</v>
      </c>
      <c r="I71" s="96">
        <f>IF(ISNUMBER(G71), $B91 * H71, "")</f>
        <v>-16470.588235294119</v>
      </c>
      <c r="J71" s="13">
        <v>242</v>
      </c>
      <c r="K71" s="14">
        <f>IF(ISNUMBER(J71), (J71 - $B71) / $B71, "")</f>
        <v>-5.0980392156862744E-2</v>
      </c>
      <c r="L71" s="16">
        <f>IF(ISNUMBER(J71), $B91 * K71, "")</f>
        <v>-15294.117647058823</v>
      </c>
      <c r="M71" s="29">
        <v>242</v>
      </c>
      <c r="N71" s="14">
        <f>IF(ISNUMBER(M71), (M71 - $B71) / $B71, "")</f>
        <v>-5.0980392156862744E-2</v>
      </c>
      <c r="O71" s="16">
        <f>IF(ISNUMBER(M71), $B91 * N71, "")</f>
        <v>-15294.117647058823</v>
      </c>
      <c r="Q71" s="270"/>
      <c r="R71" s="270"/>
      <c r="S71" s="270"/>
    </row>
    <row r="72" spans="1:19" ht="17.25" thickBot="1">
      <c r="A72" s="17" t="s">
        <v>216</v>
      </c>
      <c r="B72" s="15">
        <v>501</v>
      </c>
      <c r="C72" s="32">
        <v>0.1035242291</v>
      </c>
      <c r="D72" s="15">
        <v>476</v>
      </c>
      <c r="E72" s="32">
        <f t="shared" ref="E72:E75" si="30">IF(ISNUMBER(D72), (D72 - $B72) / $B72, "")</f>
        <v>-4.9900199600798403E-2</v>
      </c>
      <c r="F72" s="18">
        <f>IF(ISNUMBER(D72), $B91 * E72, "")</f>
        <v>-14970.059880239522</v>
      </c>
      <c r="G72" s="31">
        <v>476</v>
      </c>
      <c r="H72" s="32">
        <f t="shared" ref="H72:H75" si="31">IF(ISNUMBER(G72), (G72 - $B72) / $B72, "")</f>
        <v>-4.9900199600798403E-2</v>
      </c>
      <c r="I72" s="97">
        <f>IF(ISNUMBER(G72), $B91 * H72, "")</f>
        <v>-14970.059880239522</v>
      </c>
      <c r="J72" s="15">
        <v>477</v>
      </c>
      <c r="K72" s="32">
        <f t="shared" ref="K72:K75" si="32">IF(ISNUMBER(J72), (J72 - $B72) / $B72, "")</f>
        <v>-4.790419161676647E-2</v>
      </c>
      <c r="L72" s="18">
        <f>IF(ISNUMBER(J72), $B91 * K72, "")</f>
        <v>-14371.257485029941</v>
      </c>
      <c r="M72" s="31">
        <v>477</v>
      </c>
      <c r="N72" s="32">
        <f t="shared" ref="N72:N75" si="33">IF(ISNUMBER(M72), (M72 - $B72) / $B72, "")</f>
        <v>-4.790419161676647E-2</v>
      </c>
      <c r="O72" s="18">
        <f>IF(ISNUMBER(M72), $B91 * N72, "")</f>
        <v>-14371.257485029941</v>
      </c>
      <c r="Q72" s="270"/>
      <c r="R72" s="270"/>
      <c r="S72" s="270"/>
    </row>
    <row r="73" spans="1:19" ht="17.25" thickBot="1">
      <c r="A73" s="17" t="s">
        <v>232</v>
      </c>
      <c r="B73" s="15">
        <v>202</v>
      </c>
      <c r="C73" s="32">
        <v>8.6021505400000003E-2</v>
      </c>
      <c r="D73" s="15">
        <v>194</v>
      </c>
      <c r="E73" s="32">
        <f t="shared" si="30"/>
        <v>-3.9603960396039604E-2</v>
      </c>
      <c r="F73" s="18">
        <f>IF(ISNUMBER(D73), $B91 * E73, "")</f>
        <v>-11881.18811881188</v>
      </c>
      <c r="G73" s="31">
        <v>194</v>
      </c>
      <c r="H73" s="32">
        <f t="shared" si="31"/>
        <v>-3.9603960396039604E-2</v>
      </c>
      <c r="I73" s="97">
        <f>IF(ISNUMBER(G73), $B91 * H73, "")</f>
        <v>-11881.18811881188</v>
      </c>
      <c r="J73" s="15">
        <v>194</v>
      </c>
      <c r="K73" s="32">
        <f t="shared" si="32"/>
        <v>-3.9603960396039604E-2</v>
      </c>
      <c r="L73" s="18">
        <f>IF(ISNUMBER(J73), $B91 * K73, "")</f>
        <v>-11881.18811881188</v>
      </c>
      <c r="M73" s="31">
        <v>196</v>
      </c>
      <c r="N73" s="32">
        <f t="shared" si="33"/>
        <v>-2.9702970297029702E-2</v>
      </c>
      <c r="O73" s="18">
        <f>IF(ISNUMBER(M73), $B91 * N73, "")</f>
        <v>-8910.8910891089108</v>
      </c>
      <c r="Q73" s="275"/>
      <c r="R73" s="275"/>
      <c r="S73" s="275"/>
    </row>
    <row r="74" spans="1:19" ht="17.25" thickBot="1">
      <c r="A74" s="17" t="s">
        <v>296</v>
      </c>
      <c r="B74" s="15">
        <v>427</v>
      </c>
      <c r="C74" s="32">
        <v>7.2864321600000004E-2</v>
      </c>
      <c r="D74" s="15">
        <v>456</v>
      </c>
      <c r="E74" s="32">
        <f t="shared" si="30"/>
        <v>6.7915690866510545E-2</v>
      </c>
      <c r="F74" s="18">
        <f>IF(ISNUMBER(D74), $B91 * E74, "")</f>
        <v>20374.707259953164</v>
      </c>
      <c r="G74" s="31">
        <v>457</v>
      </c>
      <c r="H74" s="32">
        <f t="shared" si="31"/>
        <v>7.0257611241217793E-2</v>
      </c>
      <c r="I74" s="97">
        <f>IF(ISNUMBER(G74), $B91 * H74, "")</f>
        <v>21077.283372365338</v>
      </c>
      <c r="J74" s="15">
        <v>455</v>
      </c>
      <c r="K74" s="32">
        <f t="shared" si="32"/>
        <v>6.5573770491803282E-2</v>
      </c>
      <c r="L74" s="18">
        <f>IF(ISNUMBER(J74), $B91 * K74, "")</f>
        <v>19672.131147540986</v>
      </c>
      <c r="M74" s="31">
        <v>454</v>
      </c>
      <c r="N74" s="32">
        <f t="shared" si="33"/>
        <v>6.323185011709602E-2</v>
      </c>
      <c r="O74" s="18">
        <f>IF(ISNUMBER(M74), $B91 * N74, "")</f>
        <v>18969.555035128808</v>
      </c>
      <c r="Q74" s="275"/>
      <c r="R74" s="275"/>
      <c r="S74" s="275"/>
    </row>
    <row r="75" spans="1:19" ht="17.25" thickBot="1">
      <c r="A75" s="19" t="s">
        <v>54</v>
      </c>
      <c r="B75" s="20">
        <v>369</v>
      </c>
      <c r="C75" s="21">
        <v>4.5325778999999997E-2</v>
      </c>
      <c r="D75" s="20">
        <v>369</v>
      </c>
      <c r="E75" s="21">
        <f t="shared" si="30"/>
        <v>0</v>
      </c>
      <c r="F75" s="22">
        <f>IF(ISNUMBER(D75), $B91 * E75, "")</f>
        <v>0</v>
      </c>
      <c r="G75" s="30">
        <v>378</v>
      </c>
      <c r="H75" s="21">
        <f t="shared" si="31"/>
        <v>2.4390243902439025E-2</v>
      </c>
      <c r="I75" s="101">
        <f>IF(ISNUMBER(G75), $B91 * H75, "")</f>
        <v>7317.0731707317073</v>
      </c>
      <c r="J75" s="20">
        <v>381</v>
      </c>
      <c r="K75" s="21">
        <f t="shared" si="32"/>
        <v>3.2520325203252036E-2</v>
      </c>
      <c r="L75" s="22">
        <f>IF(ISNUMBER(J75), $B91 * K75, "")</f>
        <v>9756.0975609756115</v>
      </c>
      <c r="M75" s="30">
        <v>393</v>
      </c>
      <c r="N75" s="21">
        <f t="shared" si="33"/>
        <v>6.5040650406504072E-2</v>
      </c>
      <c r="O75" s="22">
        <f>IF(ISNUMBER(M75), $B91 * N75, "")</f>
        <v>19512.195121951223</v>
      </c>
      <c r="Q75" s="275"/>
      <c r="R75" s="275"/>
      <c r="S75" s="275"/>
    </row>
    <row r="76" spans="1:19" ht="17.25" thickBot="1">
      <c r="A76" s="17" t="s">
        <v>226</v>
      </c>
      <c r="B76" s="102">
        <v>563</v>
      </c>
      <c r="C76" s="103">
        <v>3.8745387499999999E-2</v>
      </c>
      <c r="D76" s="102">
        <v>539</v>
      </c>
      <c r="E76" s="103">
        <f>IF(ISNUMBER(D76), (D76 - $B76) / $B76, "")</f>
        <v>-4.2628774422735348E-2</v>
      </c>
      <c r="F76" s="104">
        <f>IF(ISNUMBER(D76), $B91 * E76, "")</f>
        <v>-12788.632326820605</v>
      </c>
      <c r="G76" s="105">
        <v>535</v>
      </c>
      <c r="H76" s="103">
        <f>IF(ISNUMBER(G76), (G76 - $B76) / $B76, "")</f>
        <v>-4.9733570159857902E-2</v>
      </c>
      <c r="I76" s="106">
        <f>IF(ISNUMBER(G76), $B91 * H76, "")</f>
        <v>-14920.07104795737</v>
      </c>
      <c r="J76" s="102">
        <v>541</v>
      </c>
      <c r="K76" s="103">
        <f>IF(ISNUMBER(J76), (J76 - $B76) / $B76, "")</f>
        <v>-3.9076376554174071E-2</v>
      </c>
      <c r="L76" s="104">
        <f>IF(ISNUMBER(J76), $B91 * K76, "")</f>
        <v>-11722.912966252221</v>
      </c>
      <c r="M76" s="105">
        <v>543</v>
      </c>
      <c r="N76" s="103">
        <f>IF(ISNUMBER(M76), (M76 - $B76) / $B76, "")</f>
        <v>-3.5523978685612786E-2</v>
      </c>
      <c r="O76" s="104">
        <f>IF(ISNUMBER(M76), $B91 * N76, "")</f>
        <v>-10657.193605683837</v>
      </c>
      <c r="Q76" s="275"/>
      <c r="R76" s="275"/>
      <c r="S76" s="275"/>
    </row>
    <row r="77" spans="1:19" ht="17.25" thickBot="1">
      <c r="A77" s="17" t="s">
        <v>212</v>
      </c>
      <c r="B77" s="15">
        <v>164</v>
      </c>
      <c r="C77" s="32">
        <v>3.7974683500000002E-2</v>
      </c>
      <c r="D77" s="15">
        <v>177</v>
      </c>
      <c r="E77" s="32">
        <f t="shared" ref="E77:E80" si="34">IF(ISNUMBER(D77), (D77 - $B77) / $B77, "")</f>
        <v>7.926829268292683E-2</v>
      </c>
      <c r="F77" s="18">
        <f>IF(ISNUMBER(D77), $B91 * E77, "")</f>
        <v>23780.487804878048</v>
      </c>
      <c r="G77" s="31">
        <v>176</v>
      </c>
      <c r="H77" s="32">
        <f t="shared" ref="H77:H80" si="35">IF(ISNUMBER(G77), (G77 - $B77) / $B77, "")</f>
        <v>7.3170731707317069E-2</v>
      </c>
      <c r="I77" s="97">
        <f>IF(ISNUMBER(G77), $B91 * H77, "")</f>
        <v>21951.219512195119</v>
      </c>
      <c r="J77" s="15">
        <v>179</v>
      </c>
      <c r="K77" s="32">
        <f t="shared" ref="K77:K80" si="36">IF(ISNUMBER(J77), (J77 - $B77) / $B77, "")</f>
        <v>9.1463414634146339E-2</v>
      </c>
      <c r="L77" s="18">
        <f>IF(ISNUMBER(J77), $B91 * K77, "")</f>
        <v>27439.024390243903</v>
      </c>
      <c r="M77" s="31">
        <v>181</v>
      </c>
      <c r="N77" s="32">
        <f t="shared" ref="N77:N80" si="37">IF(ISNUMBER(M77), (M77 - $B77) / $B77, "")</f>
        <v>0.10365853658536585</v>
      </c>
      <c r="O77" s="18">
        <f>IF(ISNUMBER(M77), $B91 * N77, "")</f>
        <v>31097.560975609755</v>
      </c>
      <c r="Q77" s="275"/>
      <c r="R77" s="275"/>
      <c r="S77" s="275"/>
    </row>
    <row r="78" spans="1:19" ht="17.25" thickBot="1">
      <c r="A78" s="17" t="s">
        <v>136</v>
      </c>
      <c r="B78" s="15">
        <v>250</v>
      </c>
      <c r="C78" s="32">
        <v>3.3057851200000002E-2</v>
      </c>
      <c r="D78" s="15">
        <v>245</v>
      </c>
      <c r="E78" s="32">
        <f t="shared" si="34"/>
        <v>-0.02</v>
      </c>
      <c r="F78" s="18">
        <f>IF(ISNUMBER(D78), $B91 * E78, "")</f>
        <v>-6000</v>
      </c>
      <c r="G78" s="31">
        <v>244</v>
      </c>
      <c r="H78" s="32">
        <f t="shared" si="35"/>
        <v>-2.4E-2</v>
      </c>
      <c r="I78" s="97">
        <f>IF(ISNUMBER(G78), $B91 * H78, "")</f>
        <v>-7200</v>
      </c>
      <c r="J78" s="15">
        <v>246</v>
      </c>
      <c r="K78" s="32">
        <f t="shared" si="36"/>
        <v>-1.6E-2</v>
      </c>
      <c r="L78" s="18">
        <f>IF(ISNUMBER(J78), $B91 * K78, "")</f>
        <v>-4800</v>
      </c>
      <c r="M78" s="31">
        <v>246</v>
      </c>
      <c r="N78" s="32">
        <f t="shared" si="37"/>
        <v>-1.6E-2</v>
      </c>
      <c r="O78" s="18">
        <f>IF(ISNUMBER(M78), $B91 * N78, "")</f>
        <v>-4800</v>
      </c>
      <c r="Q78" s="275"/>
      <c r="R78" s="275"/>
      <c r="S78" s="275"/>
    </row>
    <row r="79" spans="1:19" ht="17.25" thickBot="1">
      <c r="A79" s="17" t="s">
        <v>122</v>
      </c>
      <c r="B79" s="15">
        <v>126</v>
      </c>
      <c r="C79" s="32">
        <v>3.2786885199999997E-2</v>
      </c>
      <c r="D79" s="15">
        <v>129</v>
      </c>
      <c r="E79" s="32">
        <f t="shared" si="34"/>
        <v>2.3809523809523808E-2</v>
      </c>
      <c r="F79" s="18">
        <f>IF(ISNUMBER(D79), $B91 * E79, "")</f>
        <v>7142.8571428571422</v>
      </c>
      <c r="G79" s="31">
        <v>129</v>
      </c>
      <c r="H79" s="32">
        <f t="shared" si="35"/>
        <v>2.3809523809523808E-2</v>
      </c>
      <c r="I79" s="97">
        <f>IF(ISNUMBER(G79), $B91 * H79, "")</f>
        <v>7142.8571428571422</v>
      </c>
      <c r="J79" s="15">
        <v>130</v>
      </c>
      <c r="K79" s="32">
        <f t="shared" si="36"/>
        <v>3.1746031746031744E-2</v>
      </c>
      <c r="L79" s="18">
        <f>IF(ISNUMBER(J79), $B91 * K79, "")</f>
        <v>9523.8095238095229</v>
      </c>
      <c r="M79" s="31">
        <v>130</v>
      </c>
      <c r="N79" s="32">
        <f t="shared" si="37"/>
        <v>3.1746031746031744E-2</v>
      </c>
      <c r="O79" s="18">
        <f>IF(ISNUMBER(M79), $B91 * N79, "")</f>
        <v>9523.8095238095229</v>
      </c>
      <c r="Q79" s="33"/>
      <c r="R79" s="33"/>
    </row>
    <row r="80" spans="1:19" ht="17.25" thickBot="1">
      <c r="A80" s="23" t="s">
        <v>128</v>
      </c>
      <c r="B80" s="24">
        <v>637</v>
      </c>
      <c r="C80" s="25">
        <v>1.9199999999999998E-2</v>
      </c>
      <c r="D80" s="24">
        <v>621</v>
      </c>
      <c r="E80" s="25">
        <f t="shared" si="34"/>
        <v>-2.5117739403453691E-2</v>
      </c>
      <c r="F80" s="100">
        <f>IF(ISNUMBER(D80), $B91 * E80, "")</f>
        <v>-7535.3218210361074</v>
      </c>
      <c r="G80" s="98">
        <v>619</v>
      </c>
      <c r="H80" s="25">
        <f t="shared" si="35"/>
        <v>-2.8257456828885402E-2</v>
      </c>
      <c r="I80" s="99">
        <f>IF(ISNUMBER(G80), $B91 * H80, "")</f>
        <v>-8477.23704866562</v>
      </c>
      <c r="J80" s="24">
        <v>623</v>
      </c>
      <c r="K80" s="25">
        <f t="shared" si="36"/>
        <v>-2.197802197802198E-2</v>
      </c>
      <c r="L80" s="100">
        <f>IF(ISNUMBER(J80), $B91 * K80, "")</f>
        <v>-6593.4065934065939</v>
      </c>
      <c r="M80" s="98">
        <v>626</v>
      </c>
      <c r="N80" s="25">
        <f t="shared" si="37"/>
        <v>-1.726844583987441E-2</v>
      </c>
      <c r="O80" s="100">
        <f>IF(ISNUMBER(M80), $B91 * N80, "")</f>
        <v>-5180.5337519623226</v>
      </c>
      <c r="Q80" s="284"/>
      <c r="R80" s="285"/>
      <c r="S80" s="286"/>
    </row>
    <row r="81" spans="1:19">
      <c r="A81" s="12" t="s">
        <v>142</v>
      </c>
      <c r="B81" s="13">
        <v>428</v>
      </c>
      <c r="C81" s="14">
        <v>1.6627078399999998E-2</v>
      </c>
      <c r="D81" s="13">
        <v>418</v>
      </c>
      <c r="E81" s="14">
        <f>IF(ISNUMBER(D81), (D81 - $B81) / $B81, "")</f>
        <v>-2.336448598130841E-2</v>
      </c>
      <c r="F81" s="16">
        <f>IF(ISNUMBER(D81), $B91 * E81, "")</f>
        <v>-7009.3457943925232</v>
      </c>
      <c r="G81" s="29">
        <v>419</v>
      </c>
      <c r="H81" s="14">
        <f>IF(ISNUMBER(G81), (G81 - $B81) / $B81, "")</f>
        <v>-2.1028037383177569E-2</v>
      </c>
      <c r="I81" s="96">
        <f>IF(ISNUMBER(G81), $B91 * H81, "")</f>
        <v>-6308.4112149532702</v>
      </c>
      <c r="J81" s="13">
        <v>421</v>
      </c>
      <c r="K81" s="14">
        <f>IF(ISNUMBER(J81), (J81 - $B81) / $B81, "")</f>
        <v>-1.6355140186915886E-2</v>
      </c>
      <c r="L81" s="16">
        <f>IF(ISNUMBER(J81), $B91 * K81, "")</f>
        <v>-4906.5420560747662</v>
      </c>
      <c r="M81" s="29">
        <v>424</v>
      </c>
      <c r="N81" s="14">
        <f>IF(ISNUMBER(M81), (M81 - $B81) / $B81, "")</f>
        <v>-9.3457943925233638E-3</v>
      </c>
      <c r="O81" s="16">
        <f>IF(ISNUMBER(M81), $B91 * N81, "")</f>
        <v>-2803.7383177570091</v>
      </c>
      <c r="Q81" s="287"/>
      <c r="R81" s="288"/>
      <c r="S81" s="289"/>
    </row>
    <row r="82" spans="1:19" ht="17.25" thickBot="1">
      <c r="A82" s="17" t="s">
        <v>182</v>
      </c>
      <c r="B82" s="15">
        <v>497</v>
      </c>
      <c r="C82" s="32">
        <v>8.1135902999999992E-3</v>
      </c>
      <c r="D82" s="15">
        <v>487</v>
      </c>
      <c r="E82" s="32">
        <f t="shared" ref="E82:E85" si="38">IF(ISNUMBER(D82), (D82 - $B82) / $B82, "")</f>
        <v>-2.0120724346076459E-2</v>
      </c>
      <c r="F82" s="18">
        <f>IF(ISNUMBER(D82), $B91 * E82, "")</f>
        <v>-6036.2173038229375</v>
      </c>
      <c r="G82" s="31">
        <v>488</v>
      </c>
      <c r="H82" s="32">
        <f t="shared" ref="H82:H85" si="39">IF(ISNUMBER(G82), (G82 - $B82) / $B82, "")</f>
        <v>-1.8108651911468814E-2</v>
      </c>
      <c r="I82" s="97">
        <f>IF(ISNUMBER(G82), $B91 * H82, "")</f>
        <v>-5432.5955734406443</v>
      </c>
      <c r="J82" s="15">
        <v>489</v>
      </c>
      <c r="K82" s="32">
        <f t="shared" ref="K82:K85" si="40">IF(ISNUMBER(J82), (J82 - $B82) / $B82, "")</f>
        <v>-1.6096579476861168E-2</v>
      </c>
      <c r="L82" s="18">
        <f>IF(ISNUMBER(J82), $B91 * K82, "")</f>
        <v>-4828.9738430583502</v>
      </c>
      <c r="M82" s="31">
        <v>494</v>
      </c>
      <c r="N82" s="32">
        <f t="shared" ref="N82:N85" si="41">IF(ISNUMBER(M82), (M82 - $B82) / $B82, "")</f>
        <v>-6.0362173038229373E-3</v>
      </c>
      <c r="O82" s="18">
        <f>IF(ISNUMBER(M82), $B91 * N82, "")</f>
        <v>-1810.8651911468812</v>
      </c>
      <c r="Q82" s="290"/>
      <c r="R82" s="291"/>
      <c r="S82" s="292"/>
    </row>
    <row r="83" spans="1:19" ht="17.25" thickBot="1">
      <c r="A83" s="17" t="s">
        <v>168</v>
      </c>
      <c r="B83" s="15">
        <v>205</v>
      </c>
      <c r="C83" s="32">
        <v>0</v>
      </c>
      <c r="D83" s="15">
        <v>205</v>
      </c>
      <c r="E83" s="32">
        <f t="shared" si="38"/>
        <v>0</v>
      </c>
      <c r="F83" s="18">
        <f>IF(ISNUMBER(D83), $B91 * E83, "")</f>
        <v>0</v>
      </c>
      <c r="G83" s="31">
        <v>205</v>
      </c>
      <c r="H83" s="32">
        <f t="shared" si="39"/>
        <v>0</v>
      </c>
      <c r="I83" s="97">
        <f>IF(ISNUMBER(G83), $B91 * H83, "")</f>
        <v>0</v>
      </c>
      <c r="J83" s="15">
        <v>205</v>
      </c>
      <c r="K83" s="32">
        <f t="shared" si="40"/>
        <v>0</v>
      </c>
      <c r="L83" s="18">
        <f>IF(ISNUMBER(J83), $B91 * K83, "")</f>
        <v>0</v>
      </c>
      <c r="M83" s="31">
        <v>207</v>
      </c>
      <c r="N83" s="32">
        <f t="shared" si="41"/>
        <v>9.7560975609756097E-3</v>
      </c>
      <c r="O83" s="18">
        <f>IF(ISNUMBER(M83), $B91 * N83, "")</f>
        <v>2926.8292682926831</v>
      </c>
      <c r="Q83" s="275"/>
      <c r="R83" s="275"/>
      <c r="S83" s="275"/>
    </row>
    <row r="84" spans="1:19" ht="17.25" thickBot="1">
      <c r="A84" s="17" t="s">
        <v>240</v>
      </c>
      <c r="B84" s="15">
        <v>214</v>
      </c>
      <c r="C84" s="32">
        <v>0</v>
      </c>
      <c r="D84" s="15">
        <v>207</v>
      </c>
      <c r="E84" s="32">
        <f t="shared" si="38"/>
        <v>-3.2710280373831772E-2</v>
      </c>
      <c r="F84" s="18">
        <f>IF(ISNUMBER(D84), $B91 * E84, "")</f>
        <v>-9813.0841121495323</v>
      </c>
      <c r="G84" s="31">
        <v>207</v>
      </c>
      <c r="H84" s="32">
        <f t="shared" si="39"/>
        <v>-3.2710280373831772E-2</v>
      </c>
      <c r="I84" s="97">
        <f>IF(ISNUMBER(G84), $B91 * H84, "")</f>
        <v>-9813.0841121495323</v>
      </c>
      <c r="J84" s="15">
        <v>210</v>
      </c>
      <c r="K84" s="32">
        <f t="shared" si="40"/>
        <v>-1.8691588785046728E-2</v>
      </c>
      <c r="L84" s="18">
        <f>IF(ISNUMBER(J84), $B91 * K84, "")</f>
        <v>-5607.4766355140182</v>
      </c>
      <c r="M84" s="31">
        <v>210</v>
      </c>
      <c r="N84" s="32">
        <f t="shared" si="41"/>
        <v>-1.8691588785046728E-2</v>
      </c>
      <c r="O84" s="18">
        <f>IF(ISNUMBER(M84), $B91 * N84, "")</f>
        <v>-5607.4766355140182</v>
      </c>
      <c r="Q84" s="270"/>
      <c r="R84" s="270"/>
      <c r="S84" s="270"/>
    </row>
    <row r="85" spans="1:19" ht="17.25" thickBot="1">
      <c r="A85" s="19" t="s">
        <v>148</v>
      </c>
      <c r="B85" s="20">
        <v>209</v>
      </c>
      <c r="C85" s="21">
        <v>0</v>
      </c>
      <c r="D85" s="20">
        <v>207</v>
      </c>
      <c r="E85" s="21">
        <f t="shared" si="38"/>
        <v>-9.5693779904306216E-3</v>
      </c>
      <c r="F85" s="22">
        <f>IF(ISNUMBER(D85), $B91 * E85, "")</f>
        <v>-2870.8133971291863</v>
      </c>
      <c r="G85" s="30">
        <v>206</v>
      </c>
      <c r="H85" s="21">
        <f t="shared" si="39"/>
        <v>-1.4354066985645933E-2</v>
      </c>
      <c r="I85" s="101">
        <f>IF(ISNUMBER(G85), $B91 * H85, "")</f>
        <v>-4306.2200956937804</v>
      </c>
      <c r="J85" s="20">
        <v>207</v>
      </c>
      <c r="K85" s="21">
        <f t="shared" si="40"/>
        <v>-9.5693779904306216E-3</v>
      </c>
      <c r="L85" s="22">
        <f>IF(ISNUMBER(J85), $B91 * K85, "")</f>
        <v>-2870.8133971291863</v>
      </c>
      <c r="M85" s="30">
        <v>207</v>
      </c>
      <c r="N85" s="21">
        <f t="shared" si="41"/>
        <v>-9.5693779904306216E-3</v>
      </c>
      <c r="O85" s="22">
        <f>IF(ISNUMBER(M85), $B91 * N85, "")</f>
        <v>-2870.8133971291863</v>
      </c>
      <c r="Q85" s="270"/>
      <c r="R85" s="270"/>
      <c r="S85" s="270"/>
    </row>
    <row r="86" spans="1:19" ht="17.25" thickBot="1">
      <c r="A86" s="17" t="s">
        <v>120</v>
      </c>
      <c r="B86" s="102">
        <v>230</v>
      </c>
      <c r="C86" s="103">
        <v>0</v>
      </c>
      <c r="D86" s="102">
        <v>228</v>
      </c>
      <c r="E86" s="103">
        <f>IF(ISNUMBER(D86), (D86 - $B86) / $B86, "")</f>
        <v>-8.6956521739130436E-3</v>
      </c>
      <c r="F86" s="104">
        <f>IF(ISNUMBER(D86), $B91 * E86, "")</f>
        <v>-2608.695652173913</v>
      </c>
      <c r="G86" s="105">
        <v>227</v>
      </c>
      <c r="H86" s="103">
        <f>IF(ISNUMBER(G86), (G86 - $B86) / $B86, "")</f>
        <v>-1.3043478260869565E-2</v>
      </c>
      <c r="I86" s="106">
        <f>IF(ISNUMBER(G86), $B91 * H86, "")</f>
        <v>-3913.0434782608695</v>
      </c>
      <c r="J86" s="102">
        <v>227</v>
      </c>
      <c r="K86" s="103">
        <f>IF(ISNUMBER(J86), (J86 - $B86) / $B86, "")</f>
        <v>-1.3043478260869565E-2</v>
      </c>
      <c r="L86" s="104">
        <f>IF(ISNUMBER(J86), $B91 * K86, "")</f>
        <v>-3913.0434782608695</v>
      </c>
      <c r="M86" s="105">
        <v>226</v>
      </c>
      <c r="N86" s="103">
        <f>IF(ISNUMBER(M86), (M86 - $B86) / $B86, "")</f>
        <v>-1.7391304347826087E-2</v>
      </c>
      <c r="O86" s="104">
        <f>IF(ISNUMBER(M86), $B91 * N86, "")</f>
        <v>-5217.391304347826</v>
      </c>
      <c r="Q86" s="275"/>
      <c r="R86" s="275"/>
      <c r="S86" s="275"/>
    </row>
    <row r="87" spans="1:19" ht="17.25" thickBot="1">
      <c r="A87" s="17" t="s">
        <v>230</v>
      </c>
      <c r="B87" s="15">
        <v>186</v>
      </c>
      <c r="C87" s="32">
        <v>0</v>
      </c>
      <c r="D87" s="15">
        <v>190</v>
      </c>
      <c r="E87" s="32">
        <f t="shared" ref="E87:E90" si="42">IF(ISNUMBER(D87), (D87 - $B87) / $B87, "")</f>
        <v>2.1505376344086023E-2</v>
      </c>
      <c r="F87" s="18">
        <f>IF(ISNUMBER(D87), $B91 * E87, "")</f>
        <v>6451.6129032258068</v>
      </c>
      <c r="G87" s="31">
        <v>191</v>
      </c>
      <c r="H87" s="32">
        <f t="shared" ref="H87:H90" si="43">IF(ISNUMBER(G87), (G87 - $B87) / $B87, "")</f>
        <v>2.6881720430107527E-2</v>
      </c>
      <c r="I87" s="97">
        <f>IF(ISNUMBER(G87), $B91 * H87, "")</f>
        <v>8064.5161290322585</v>
      </c>
      <c r="J87" s="15">
        <v>194</v>
      </c>
      <c r="K87" s="32">
        <f t="shared" ref="K87:K90" si="44">IF(ISNUMBER(J87), (J87 - $B87) / $B87, "")</f>
        <v>4.3010752688172046E-2</v>
      </c>
      <c r="L87" s="18">
        <f>IF(ISNUMBER(J87), $B91 * K87, "")</f>
        <v>12903.225806451614</v>
      </c>
      <c r="M87" s="31">
        <v>198</v>
      </c>
      <c r="N87" s="32">
        <f t="shared" ref="N87:N90" si="45">IF(ISNUMBER(M87), (M87 - $B87) / $B87, "")</f>
        <v>6.4516129032258063E-2</v>
      </c>
      <c r="O87" s="18">
        <f>IF(ISNUMBER(M87), $B91 * N87, "")</f>
        <v>19354.83870967742</v>
      </c>
      <c r="Q87" s="275"/>
      <c r="R87" s="275"/>
      <c r="S87" s="275"/>
    </row>
    <row r="88" spans="1:19" ht="17.25" thickBot="1">
      <c r="A88" s="17" t="s">
        <v>51</v>
      </c>
      <c r="B88" s="15">
        <v>620</v>
      </c>
      <c r="C88" s="32">
        <v>-4.8154093000000002E-3</v>
      </c>
      <c r="D88" s="15">
        <v>628</v>
      </c>
      <c r="E88" s="32">
        <f t="shared" si="42"/>
        <v>1.2903225806451613E-2</v>
      </c>
      <c r="F88" s="18">
        <f>IF(ISNUMBER(D88), $B91 * E88, "")</f>
        <v>3870.9677419354839</v>
      </c>
      <c r="G88" s="31">
        <v>630</v>
      </c>
      <c r="H88" s="32">
        <f t="shared" si="43"/>
        <v>1.6129032258064516E-2</v>
      </c>
      <c r="I88" s="97">
        <f>IF(ISNUMBER(G88), $B91 * H88, "")</f>
        <v>4838.7096774193551</v>
      </c>
      <c r="J88" s="15">
        <v>632</v>
      </c>
      <c r="K88" s="32">
        <f t="shared" si="44"/>
        <v>1.935483870967742E-2</v>
      </c>
      <c r="L88" s="18">
        <f>IF(ISNUMBER(J88), $B91 * K88, "")</f>
        <v>5806.4516129032263</v>
      </c>
      <c r="M88" s="31">
        <v>631</v>
      </c>
      <c r="N88" s="32">
        <f t="shared" si="45"/>
        <v>1.7741935483870968E-2</v>
      </c>
      <c r="O88" s="18">
        <f>IF(ISNUMBER(M88), $B91 * N88, "")</f>
        <v>5322.5806451612907</v>
      </c>
      <c r="Q88" s="275"/>
      <c r="R88" s="275"/>
      <c r="S88" s="275"/>
    </row>
    <row r="89" spans="1:19">
      <c r="A89" s="17" t="s">
        <v>278</v>
      </c>
      <c r="B89" s="15">
        <v>154</v>
      </c>
      <c r="C89" s="32">
        <v>-6.4516128999999997E-3</v>
      </c>
      <c r="D89" s="15">
        <v>152</v>
      </c>
      <c r="E89" s="32">
        <f t="shared" si="42"/>
        <v>-1.2987012987012988E-2</v>
      </c>
      <c r="F89" s="18">
        <f>IF(ISNUMBER(D89), $B91 * E89, "")</f>
        <v>-3896.1038961038962</v>
      </c>
      <c r="G89" s="31">
        <v>153</v>
      </c>
      <c r="H89" s="32">
        <f t="shared" si="43"/>
        <v>-6.4935064935064939E-3</v>
      </c>
      <c r="I89" s="97">
        <f>IF(ISNUMBER(G89), $B91 * H89, "")</f>
        <v>-1948.0519480519481</v>
      </c>
      <c r="J89" s="15">
        <v>153</v>
      </c>
      <c r="K89" s="32">
        <f t="shared" si="44"/>
        <v>-6.4935064935064939E-3</v>
      </c>
      <c r="L89" s="18">
        <f>IF(ISNUMBER(J89), $B91 * K89, "")</f>
        <v>-1948.0519480519481</v>
      </c>
      <c r="M89" s="31">
        <v>153</v>
      </c>
      <c r="N89" s="32">
        <f t="shared" si="45"/>
        <v>-6.4935064935064939E-3</v>
      </c>
      <c r="O89" s="18">
        <f>IF(ISNUMBER(M89), $B91 * N89, "")</f>
        <v>-1948.0519480519481</v>
      </c>
      <c r="Q89" s="297"/>
      <c r="R89" s="298"/>
      <c r="S89" s="299"/>
    </row>
    <row r="90" spans="1:19" ht="17.25" thickBot="1">
      <c r="A90" s="23" t="s">
        <v>132</v>
      </c>
      <c r="B90" s="24">
        <v>235</v>
      </c>
      <c r="C90" s="25">
        <v>-8.4388186E-3</v>
      </c>
      <c r="D90" s="24">
        <v>254</v>
      </c>
      <c r="E90" s="25">
        <f t="shared" si="42"/>
        <v>8.085106382978724E-2</v>
      </c>
      <c r="F90" s="100">
        <f>IF(ISNUMBER(D90), $B91 * E90, "")</f>
        <v>24255.319148936171</v>
      </c>
      <c r="G90" s="98">
        <v>255</v>
      </c>
      <c r="H90" s="25">
        <f t="shared" si="43"/>
        <v>8.5106382978723402E-2</v>
      </c>
      <c r="I90" s="99">
        <f>IF(ISNUMBER(G90), $B91 * H90, "")</f>
        <v>25531.91489361702</v>
      </c>
      <c r="J90" s="24">
        <v>255</v>
      </c>
      <c r="K90" s="25">
        <f t="shared" si="44"/>
        <v>8.5106382978723402E-2</v>
      </c>
      <c r="L90" s="100">
        <f>IF(ISNUMBER(J90), $B91 * K90, "")</f>
        <v>25531.91489361702</v>
      </c>
      <c r="M90" s="98">
        <v>254</v>
      </c>
      <c r="N90" s="25">
        <f t="shared" si="45"/>
        <v>8.085106382978724E-2</v>
      </c>
      <c r="O90" s="100">
        <f>IF(ISNUMBER(M90), $B91 * N90, "")</f>
        <v>24255.319148936171</v>
      </c>
      <c r="Q90" s="300"/>
      <c r="R90" s="301"/>
      <c r="S90" s="302"/>
    </row>
    <row r="91" spans="1:19" ht="17.25" thickBot="1">
      <c r="A91" s="26" t="s">
        <v>301</v>
      </c>
      <c r="B91" s="306">
        <f>$B$37</f>
        <v>300000</v>
      </c>
      <c r="C91" s="307"/>
      <c r="D91" s="26" t="s">
        <v>302</v>
      </c>
      <c r="E91" s="27">
        <f>IF(COUNT(E71:E90), SUM(E71:E90) / COUNT(E71:E90), 0)</f>
        <v>-2.863428187403949E-3</v>
      </c>
      <c r="F91" s="28">
        <f>SUM(F71:F90)</f>
        <v>-17180.569124423695</v>
      </c>
      <c r="G91" s="26" t="s">
        <v>302</v>
      </c>
      <c r="H91" s="27">
        <f>IF(COUNT(H71:H90), SUM(H71:H90) / COUNT(H71:H90), 0)</f>
        <v>-1.6194961425501017E-3</v>
      </c>
      <c r="I91" s="28">
        <f>SUM(I71:I90)</f>
        <v>-9716.9768553006252</v>
      </c>
      <c r="J91" s="26" t="s">
        <v>302</v>
      </c>
      <c r="K91" s="27">
        <f>IF(COUNT(K71:K90), SUM(K71:K90) / COUNT(K71:K90), 0)</f>
        <v>3.6491451278155467E-3</v>
      </c>
      <c r="L91" s="28">
        <f>SUM(L71:L90)</f>
        <v>21894.870766893284</v>
      </c>
      <c r="M91" s="26" t="s">
        <v>302</v>
      </c>
      <c r="N91" s="27">
        <f>IF(COUNT(N71:N90), SUM(N71:N90) / COUNT(N71:N90), 0)</f>
        <v>8.581726342629362E-3</v>
      </c>
      <c r="O91" s="28">
        <f>SUM(O71:O90)</f>
        <v>51490.358055776174</v>
      </c>
      <c r="Q91" s="303"/>
      <c r="R91" s="304"/>
      <c r="S91" s="305"/>
    </row>
    <row r="93" spans="1:19" ht="17.25" thickBot="1"/>
    <row r="94" spans="1:19" ht="17.25" thickBot="1">
      <c r="A94" s="249" t="s">
        <v>46</v>
      </c>
      <c r="B94" s="250"/>
      <c r="C94" s="250"/>
      <c r="D94" s="250"/>
      <c r="E94" s="250"/>
      <c r="F94" s="250"/>
      <c r="G94" s="250"/>
      <c r="H94" s="250"/>
      <c r="I94" s="250"/>
      <c r="J94" s="250"/>
      <c r="K94" s="250"/>
      <c r="L94" s="250"/>
      <c r="M94" s="250"/>
      <c r="N94" s="250"/>
      <c r="O94" s="251"/>
      <c r="Q94" s="270"/>
      <c r="R94" s="270"/>
      <c r="S94" s="270"/>
    </row>
    <row r="95" spans="1:19" ht="17.25" thickBot="1">
      <c r="A95" s="107" t="s">
        <v>298</v>
      </c>
      <c r="B95" s="249" t="s">
        <v>49</v>
      </c>
      <c r="C95" s="251"/>
      <c r="D95" s="249" t="s">
        <v>58</v>
      </c>
      <c r="E95" s="250"/>
      <c r="F95" s="251"/>
      <c r="G95" s="276">
        <f>_xlfn.IFNA(VLOOKUP(B95, 현재가테이블!$B$2:$D$200, 2, FALSE), "-")</f>
        <v>60874000</v>
      </c>
      <c r="H95" s="277"/>
      <c r="I95" s="278"/>
      <c r="J95" s="249" t="s">
        <v>59</v>
      </c>
      <c r="K95" s="250"/>
      <c r="L95" s="251"/>
      <c r="M95" s="279">
        <f>_xlfn.IFNA(VLOOKUP(B95, 현재가테이블!$B$2:$D$200, 3, FALSE), "-")</f>
        <v>-1.4936000099999999E-2</v>
      </c>
      <c r="N95" s="280"/>
      <c r="O95" s="281"/>
      <c r="Q95" s="270"/>
      <c r="R95" s="270"/>
      <c r="S95" s="270"/>
    </row>
    <row r="96" spans="1:19" ht="17.25" thickBot="1">
      <c r="A96" s="293" t="s">
        <v>55</v>
      </c>
      <c r="B96" s="295" t="str">
        <f>TEXT($G$1, "[$-ko-KR]yyyy-mm-dd(ddd) ") &amp; "오전 00:00"</f>
        <v>2021-05-02(일) 오전 00:00</v>
      </c>
      <c r="C96" s="296"/>
      <c r="D96" s="272" t="str">
        <f>TEXT($G$1, "[$-ko-KR]yyyy-mm-dd(ddd) ") &amp; "오후 14:00"</f>
        <v>2021-05-02(일) 오후 14:00</v>
      </c>
      <c r="E96" s="273"/>
      <c r="F96" s="274"/>
      <c r="G96" s="272" t="str">
        <f>TEXT($G$1, "[$-ko-KR]yyyy-mm-dd(ddd) ") &amp; "오후 19:00"</f>
        <v>2021-05-02(일) 오후 19:00</v>
      </c>
      <c r="H96" s="273"/>
      <c r="I96" s="274"/>
      <c r="J96" s="272" t="str">
        <f>TEXT($G$1, "[$-ko-KR]yyyy-mm-dd(ddd) ") &amp; "오후 21:00"</f>
        <v>2021-05-02(일) 오후 21:00</v>
      </c>
      <c r="K96" s="273"/>
      <c r="L96" s="274"/>
      <c r="M96" s="272" t="str">
        <f>TEXT($G$1+1, "[$-ko-KR]yyyy-mm-dd(ddd) ") &amp; "오전 00:00"</f>
        <v>2021-05-03(월) 오전 00:00</v>
      </c>
      <c r="N96" s="273"/>
      <c r="O96" s="274"/>
      <c r="Q96" s="270"/>
      <c r="R96" s="270"/>
      <c r="S96" s="270"/>
    </row>
    <row r="97" spans="1:19" ht="17.25" thickBot="1">
      <c r="A97" s="294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75"/>
      <c r="R97" s="275"/>
      <c r="S97" s="275"/>
    </row>
    <row r="98" spans="1:19" ht="17.25" thickBot="1">
      <c r="A98" s="12" t="s">
        <v>102</v>
      </c>
      <c r="B98" s="13">
        <v>48140</v>
      </c>
      <c r="C98" s="14">
        <v>0.12608187130000001</v>
      </c>
      <c r="D98" s="13">
        <v>53980</v>
      </c>
      <c r="E98" s="14">
        <f>IF(ISNUMBER(D98), (D98 - $B98) / $B98, "")</f>
        <v>0.12131283755712505</v>
      </c>
      <c r="F98" s="16">
        <f>IF(ISNUMBER(D98), $B118 * E98, "")</f>
        <v>36393.851267137514</v>
      </c>
      <c r="G98" s="29">
        <v>54610</v>
      </c>
      <c r="H98" s="14">
        <f>IF(ISNUMBER(G98), (G98 - $B98) / $B98, "")</f>
        <v>0.13439966763606148</v>
      </c>
      <c r="I98" s="96">
        <f>IF(ISNUMBER(G98), $B118 * H98, "")</f>
        <v>40319.900290818441</v>
      </c>
      <c r="J98" s="13">
        <v>54480</v>
      </c>
      <c r="K98" s="14">
        <f>IF(ISNUMBER(J98), (J98 - $B98) / $B98, "")</f>
        <v>0.13169921063564602</v>
      </c>
      <c r="L98" s="16">
        <f>IF(ISNUMBER(J98), $B118 * K98, "")</f>
        <v>39509.763190693804</v>
      </c>
      <c r="M98" s="29">
        <v>54030</v>
      </c>
      <c r="N98" s="14">
        <f>IF(ISNUMBER(M98), (M98 - $B98) / $B98, "")</f>
        <v>0.12235147486497715</v>
      </c>
      <c r="O98" s="16">
        <f>IF(ISNUMBER(M98), $B118 * N98, "")</f>
        <v>36705.442459493141</v>
      </c>
      <c r="Q98" s="270"/>
      <c r="R98" s="270"/>
      <c r="S98" s="270"/>
    </row>
    <row r="99" spans="1:19" ht="17.25" thickBot="1">
      <c r="A99" s="17" t="s">
        <v>250</v>
      </c>
      <c r="B99" s="15">
        <v>255</v>
      </c>
      <c r="C99" s="32">
        <v>0.10869565220000001</v>
      </c>
      <c r="D99" s="15">
        <v>240</v>
      </c>
      <c r="E99" s="32">
        <f t="shared" ref="E99:E102" si="46">IF(ISNUMBER(D99), (D99 - $B99) / $B99, "")</f>
        <v>-5.8823529411764705E-2</v>
      </c>
      <c r="F99" s="18">
        <f>IF(ISNUMBER(D99), $B118 * E99, "")</f>
        <v>-17647.058823529413</v>
      </c>
      <c r="G99" s="31">
        <v>241</v>
      </c>
      <c r="H99" s="32">
        <f t="shared" ref="H99:H102" si="47">IF(ISNUMBER(G99), (G99 - $B99) / $B99, "")</f>
        <v>-5.4901960784313725E-2</v>
      </c>
      <c r="I99" s="97">
        <f>IF(ISNUMBER(G99), $B118 * H99, "")</f>
        <v>-16470.588235294119</v>
      </c>
      <c r="J99" s="15">
        <v>242</v>
      </c>
      <c r="K99" s="32">
        <f t="shared" ref="K99:K102" si="48">IF(ISNUMBER(J99), (J99 - $B99) / $B99, "")</f>
        <v>-5.0980392156862744E-2</v>
      </c>
      <c r="L99" s="18">
        <f>IF(ISNUMBER(J99), $B118 * K99, "")</f>
        <v>-15294.117647058823</v>
      </c>
      <c r="M99" s="31">
        <v>242</v>
      </c>
      <c r="N99" s="32">
        <f t="shared" ref="N99:N102" si="49">IF(ISNUMBER(M99), (M99 - $B99) / $B99, "")</f>
        <v>-5.0980392156862744E-2</v>
      </c>
      <c r="O99" s="18">
        <f>IF(ISNUMBER(M99), $B118 * N99, "")</f>
        <v>-15294.117647058823</v>
      </c>
      <c r="Q99" s="270"/>
      <c r="R99" s="270"/>
      <c r="S99" s="270"/>
    </row>
    <row r="100" spans="1:19" ht="17.25" thickBot="1">
      <c r="A100" s="17" t="s">
        <v>216</v>
      </c>
      <c r="B100" s="15">
        <v>501</v>
      </c>
      <c r="C100" s="32">
        <v>0.1035242291</v>
      </c>
      <c r="D100" s="15">
        <v>476</v>
      </c>
      <c r="E100" s="32">
        <f t="shared" si="46"/>
        <v>-4.9900199600798403E-2</v>
      </c>
      <c r="F100" s="18">
        <f>IF(ISNUMBER(D100), $B118 * E100, "")</f>
        <v>-14970.059880239522</v>
      </c>
      <c r="G100" s="31">
        <v>476</v>
      </c>
      <c r="H100" s="32">
        <f t="shared" si="47"/>
        <v>-4.9900199600798403E-2</v>
      </c>
      <c r="I100" s="97">
        <f>IF(ISNUMBER(G100), $B118 * H100, "")</f>
        <v>-14970.059880239522</v>
      </c>
      <c r="J100" s="15">
        <v>477</v>
      </c>
      <c r="K100" s="32">
        <f t="shared" si="48"/>
        <v>-4.790419161676647E-2</v>
      </c>
      <c r="L100" s="18">
        <f>IF(ISNUMBER(J100), $B118 * K100, "")</f>
        <v>-14371.257485029941</v>
      </c>
      <c r="M100" s="31">
        <v>477</v>
      </c>
      <c r="N100" s="32">
        <f t="shared" si="49"/>
        <v>-4.790419161676647E-2</v>
      </c>
      <c r="O100" s="18">
        <f>IF(ISNUMBER(M100), $B118 * N100, "")</f>
        <v>-14371.257485029941</v>
      </c>
      <c r="Q100" s="275"/>
      <c r="R100" s="275"/>
      <c r="S100" s="275"/>
    </row>
    <row r="101" spans="1:19" ht="17.25" thickBot="1">
      <c r="A101" s="17" t="s">
        <v>232</v>
      </c>
      <c r="B101" s="15">
        <v>202</v>
      </c>
      <c r="C101" s="32">
        <v>8.6021505400000003E-2</v>
      </c>
      <c r="D101" s="15">
        <v>194</v>
      </c>
      <c r="E101" s="32">
        <f t="shared" si="46"/>
        <v>-3.9603960396039604E-2</v>
      </c>
      <c r="F101" s="18">
        <f>IF(ISNUMBER(D101), $B118 * E101, "")</f>
        <v>-11881.18811881188</v>
      </c>
      <c r="G101" s="31">
        <v>194</v>
      </c>
      <c r="H101" s="32">
        <f t="shared" si="47"/>
        <v>-3.9603960396039604E-2</v>
      </c>
      <c r="I101" s="97">
        <f>IF(ISNUMBER(G101), $B118 * H101, "")</f>
        <v>-11881.18811881188</v>
      </c>
      <c r="J101" s="15">
        <v>194</v>
      </c>
      <c r="K101" s="32">
        <f t="shared" si="48"/>
        <v>-3.9603960396039604E-2</v>
      </c>
      <c r="L101" s="18">
        <f>IF(ISNUMBER(J101), $B118 * K101, "")</f>
        <v>-11881.18811881188</v>
      </c>
      <c r="M101" s="31">
        <v>196</v>
      </c>
      <c r="N101" s="32">
        <f t="shared" si="49"/>
        <v>-2.9702970297029702E-2</v>
      </c>
      <c r="O101" s="18">
        <f>IF(ISNUMBER(M101), $B118 * N101, "")</f>
        <v>-8910.8910891089108</v>
      </c>
      <c r="Q101" s="275"/>
      <c r="R101" s="275"/>
      <c r="S101" s="275"/>
    </row>
    <row r="102" spans="1:19" ht="17.25" thickBot="1">
      <c r="A102" s="19" t="s">
        <v>296</v>
      </c>
      <c r="B102" s="20">
        <v>427</v>
      </c>
      <c r="C102" s="21">
        <v>7.2864321600000004E-2</v>
      </c>
      <c r="D102" s="20">
        <v>456</v>
      </c>
      <c r="E102" s="21">
        <f t="shared" si="46"/>
        <v>6.7915690866510545E-2</v>
      </c>
      <c r="F102" s="22">
        <f>IF(ISNUMBER(D102), $B118 * E102, "")</f>
        <v>20374.707259953164</v>
      </c>
      <c r="G102" s="30">
        <v>457</v>
      </c>
      <c r="H102" s="21">
        <f t="shared" si="47"/>
        <v>7.0257611241217793E-2</v>
      </c>
      <c r="I102" s="101">
        <f>IF(ISNUMBER(G102), $B118 * H102, "")</f>
        <v>21077.283372365338</v>
      </c>
      <c r="J102" s="20">
        <v>455</v>
      </c>
      <c r="K102" s="21">
        <f t="shared" si="48"/>
        <v>6.5573770491803282E-2</v>
      </c>
      <c r="L102" s="22">
        <f>IF(ISNUMBER(J102), $B118 * K102, "")</f>
        <v>19672.131147540986</v>
      </c>
      <c r="M102" s="30">
        <v>454</v>
      </c>
      <c r="N102" s="21">
        <f t="shared" si="49"/>
        <v>6.323185011709602E-2</v>
      </c>
      <c r="O102" s="22">
        <f>IF(ISNUMBER(M102), $B118 * N102, "")</f>
        <v>18969.555035128808</v>
      </c>
      <c r="Q102" s="275"/>
      <c r="R102" s="275"/>
      <c r="S102" s="275"/>
    </row>
    <row r="103" spans="1:19" ht="17.25" thickBot="1">
      <c r="A103" s="17" t="s">
        <v>74</v>
      </c>
      <c r="B103" s="102">
        <v>28460</v>
      </c>
      <c r="C103" s="103">
        <v>6.5518532399999996E-2</v>
      </c>
      <c r="D103" s="102">
        <v>27500</v>
      </c>
      <c r="E103" s="103">
        <f>IF(ISNUMBER(D103), (D103 - $B103) / $B103, "")</f>
        <v>-3.3731553056921992E-2</v>
      </c>
      <c r="F103" s="104">
        <f>IF(ISNUMBER(D103), $B118 * E103, "")</f>
        <v>-10119.465917076597</v>
      </c>
      <c r="G103" s="105">
        <v>27400</v>
      </c>
      <c r="H103" s="103">
        <f>IF(ISNUMBER(G103), (G103 - $B103) / $B103, "")</f>
        <v>-3.7245256500351369E-2</v>
      </c>
      <c r="I103" s="106">
        <f>IF(ISNUMBER(G103), $B118 * H103, "")</f>
        <v>-11173.576950105411</v>
      </c>
      <c r="J103" s="102">
        <v>27590</v>
      </c>
      <c r="K103" s="103">
        <f>IF(ISNUMBER(J103), (J103 - $B103) / $B103, "")</f>
        <v>-3.0569219957835559E-2</v>
      </c>
      <c r="L103" s="104">
        <f>IF(ISNUMBER(J103), $B118 * K103, "")</f>
        <v>-9170.7659873506673</v>
      </c>
      <c r="M103" s="105">
        <v>27670</v>
      </c>
      <c r="N103" s="103">
        <f>IF(ISNUMBER(M103), (M103 - $B103) / $B103, "")</f>
        <v>-2.7758257203092059E-2</v>
      </c>
      <c r="O103" s="104">
        <f>IF(ISNUMBER(M103), $B118 * N103, "")</f>
        <v>-8327.4771609276177</v>
      </c>
      <c r="Q103" s="275"/>
      <c r="R103" s="275"/>
      <c r="S103" s="275"/>
    </row>
    <row r="104" spans="1:19" ht="17.25" thickBot="1">
      <c r="A104" s="17" t="s">
        <v>108</v>
      </c>
      <c r="B104" s="15">
        <v>50100</v>
      </c>
      <c r="C104" s="32">
        <v>4.7678795500000003E-2</v>
      </c>
      <c r="D104" s="15">
        <v>49320</v>
      </c>
      <c r="E104" s="32">
        <f t="shared" ref="E104:E107" si="50">IF(ISNUMBER(D104), (D104 - $B104) / $B104, "")</f>
        <v>-1.5568862275449102E-2</v>
      </c>
      <c r="F104" s="18">
        <f>IF(ISNUMBER(D104), $B118 * E104, "")</f>
        <v>-4670.6586826347302</v>
      </c>
      <c r="G104" s="31">
        <v>49360</v>
      </c>
      <c r="H104" s="32">
        <f t="shared" ref="H104:H107" si="51">IF(ISNUMBER(G104), (G104 - $B104) / $B104, "")</f>
        <v>-1.4770459081836327E-2</v>
      </c>
      <c r="I104" s="97">
        <f>IF(ISNUMBER(G104), $B118 * H104, "")</f>
        <v>-4431.1377245508984</v>
      </c>
      <c r="J104" s="15">
        <v>49590</v>
      </c>
      <c r="K104" s="32">
        <f t="shared" ref="K104:K107" si="52">IF(ISNUMBER(J104), (J104 - $B104) / $B104, "")</f>
        <v>-1.0179640718562874E-2</v>
      </c>
      <c r="L104" s="18">
        <f>IF(ISNUMBER(J104), $B118 * K104, "")</f>
        <v>-3053.8922155688624</v>
      </c>
      <c r="M104" s="31">
        <v>49760</v>
      </c>
      <c r="N104" s="32">
        <f t="shared" ref="N104:N107" si="53">IF(ISNUMBER(M104), (M104 - $B104) / $B104, "")</f>
        <v>-6.7864271457085826E-3</v>
      </c>
      <c r="O104" s="18">
        <f>IF(ISNUMBER(M104), $B118 * N104, "")</f>
        <v>-2035.9281437125749</v>
      </c>
      <c r="Q104" s="275"/>
      <c r="R104" s="275"/>
      <c r="S104" s="275"/>
    </row>
    <row r="105" spans="1:19" ht="17.25" thickBot="1">
      <c r="A105" s="17" t="s">
        <v>54</v>
      </c>
      <c r="B105" s="15">
        <v>369</v>
      </c>
      <c r="C105" s="32">
        <v>4.5325778999999997E-2</v>
      </c>
      <c r="D105" s="15">
        <v>369</v>
      </c>
      <c r="E105" s="32">
        <f t="shared" si="50"/>
        <v>0</v>
      </c>
      <c r="F105" s="18">
        <f>IF(ISNUMBER(D105), $B118 * E105, "")</f>
        <v>0</v>
      </c>
      <c r="G105" s="31">
        <v>378</v>
      </c>
      <c r="H105" s="32">
        <f t="shared" si="51"/>
        <v>2.4390243902439025E-2</v>
      </c>
      <c r="I105" s="97">
        <f>IF(ISNUMBER(G105), $B118 * H105, "")</f>
        <v>7317.0731707317073</v>
      </c>
      <c r="J105" s="15">
        <v>381</v>
      </c>
      <c r="K105" s="32">
        <f t="shared" si="52"/>
        <v>3.2520325203252036E-2</v>
      </c>
      <c r="L105" s="18">
        <f>IF(ISNUMBER(J105), $B118 * K105, "")</f>
        <v>9756.0975609756115</v>
      </c>
      <c r="M105" s="31">
        <v>393</v>
      </c>
      <c r="N105" s="32">
        <f t="shared" si="53"/>
        <v>6.5040650406504072E-2</v>
      </c>
      <c r="O105" s="18">
        <f>IF(ISNUMBER(M105), $B118 * N105, "")</f>
        <v>19512.195121951223</v>
      </c>
      <c r="Q105" s="275"/>
      <c r="R105" s="275"/>
      <c r="S105" s="275"/>
    </row>
    <row r="106" spans="1:19" ht="17.25" thickBot="1">
      <c r="A106" s="17" t="s">
        <v>96</v>
      </c>
      <c r="B106" s="15">
        <v>3418000</v>
      </c>
      <c r="C106" s="32">
        <v>4.4940385200000002E-2</v>
      </c>
      <c r="D106" s="15">
        <v>3490000</v>
      </c>
      <c r="E106" s="32">
        <f t="shared" si="50"/>
        <v>2.1064950263311878E-2</v>
      </c>
      <c r="F106" s="18">
        <f>IF(ISNUMBER(D106), $B118 * E106, "")</f>
        <v>6319.4850789935635</v>
      </c>
      <c r="G106" s="31">
        <v>3508000</v>
      </c>
      <c r="H106" s="32">
        <f t="shared" si="51"/>
        <v>2.6331187829139849E-2</v>
      </c>
      <c r="I106" s="97">
        <f>IF(ISNUMBER(G106), $B118 * H106, "")</f>
        <v>7899.3563487419551</v>
      </c>
      <c r="J106" s="15">
        <v>3518000</v>
      </c>
      <c r="K106" s="32">
        <f t="shared" si="52"/>
        <v>2.9256875365710942E-2</v>
      </c>
      <c r="L106" s="18">
        <f>IF(ISNUMBER(J106), $B118 * K106, "")</f>
        <v>8777.0626097132827</v>
      </c>
      <c r="M106" s="31">
        <v>3509000</v>
      </c>
      <c r="N106" s="32">
        <f t="shared" si="53"/>
        <v>2.6623756582796958E-2</v>
      </c>
      <c r="O106" s="18">
        <f>IF(ISNUMBER(M106), $B118 * N106, "")</f>
        <v>7987.1269748390878</v>
      </c>
      <c r="Q106" s="33"/>
      <c r="R106" s="33"/>
    </row>
    <row r="107" spans="1:19" ht="17.25" thickBot="1">
      <c r="A107" s="23" t="s">
        <v>118</v>
      </c>
      <c r="B107" s="24">
        <v>6865</v>
      </c>
      <c r="C107" s="25">
        <v>4.0151515200000001E-2</v>
      </c>
      <c r="D107" s="24">
        <v>6710</v>
      </c>
      <c r="E107" s="25">
        <f t="shared" si="50"/>
        <v>-2.2578295702840496E-2</v>
      </c>
      <c r="F107" s="100">
        <f>IF(ISNUMBER(D107), $B118 * E107, "")</f>
        <v>-6773.4887108521489</v>
      </c>
      <c r="G107" s="98">
        <v>6785</v>
      </c>
      <c r="H107" s="25">
        <f t="shared" si="51"/>
        <v>-1.1653313911143482E-2</v>
      </c>
      <c r="I107" s="99">
        <f>IF(ISNUMBER(G107), $B118 * H107, "")</f>
        <v>-3495.9941733430446</v>
      </c>
      <c r="J107" s="24">
        <v>6730</v>
      </c>
      <c r="K107" s="25">
        <f t="shared" si="52"/>
        <v>-1.9664967225054626E-2</v>
      </c>
      <c r="L107" s="100">
        <f>IF(ISNUMBER(J107), $B118 * K107, "")</f>
        <v>-5899.4901675163883</v>
      </c>
      <c r="M107" s="98">
        <v>6780</v>
      </c>
      <c r="N107" s="25">
        <f t="shared" si="53"/>
        <v>-1.2381646030589949E-2</v>
      </c>
      <c r="O107" s="100">
        <f>IF(ISNUMBER(M107), $B118 * N107, "")</f>
        <v>-3714.4938091769845</v>
      </c>
      <c r="Q107" s="284"/>
      <c r="R107" s="285"/>
      <c r="S107" s="286"/>
    </row>
    <row r="108" spans="1:19">
      <c r="A108" s="12" t="s">
        <v>226</v>
      </c>
      <c r="B108" s="13">
        <v>563</v>
      </c>
      <c r="C108" s="14">
        <v>3.8745387499999999E-2</v>
      </c>
      <c r="D108" s="13">
        <v>539</v>
      </c>
      <c r="E108" s="14">
        <f>IF(ISNUMBER(D108), (D108 - $B108) / $B108, "")</f>
        <v>-4.2628774422735348E-2</v>
      </c>
      <c r="F108" s="16">
        <f>IF(ISNUMBER(D108), $B118 * E108, "")</f>
        <v>-12788.632326820605</v>
      </c>
      <c r="G108" s="29">
        <v>535</v>
      </c>
      <c r="H108" s="14">
        <f>IF(ISNUMBER(G108), (G108 - $B108) / $B108, "")</f>
        <v>-4.9733570159857902E-2</v>
      </c>
      <c r="I108" s="96">
        <f>IF(ISNUMBER(G108), $B118 * H108, "")</f>
        <v>-14920.07104795737</v>
      </c>
      <c r="J108" s="13">
        <v>541</v>
      </c>
      <c r="K108" s="14">
        <f>IF(ISNUMBER(J108), (J108 - $B108) / $B108, "")</f>
        <v>-3.9076376554174071E-2</v>
      </c>
      <c r="L108" s="16">
        <f>IF(ISNUMBER(J108), $B118 * K108, "")</f>
        <v>-11722.912966252221</v>
      </c>
      <c r="M108" s="29">
        <v>543</v>
      </c>
      <c r="N108" s="14">
        <f>IF(ISNUMBER(M108), (M108 - $B108) / $B108, "")</f>
        <v>-3.5523978685612786E-2</v>
      </c>
      <c r="O108" s="16">
        <f>IF(ISNUMBER(M108), $B118 * N108, "")</f>
        <v>-10657.193605683837</v>
      </c>
      <c r="Q108" s="287"/>
      <c r="R108" s="288"/>
      <c r="S108" s="289"/>
    </row>
    <row r="109" spans="1:19" ht="17.25" thickBot="1">
      <c r="A109" s="17" t="s">
        <v>212</v>
      </c>
      <c r="B109" s="15">
        <v>164</v>
      </c>
      <c r="C109" s="32">
        <v>3.7974683500000002E-2</v>
      </c>
      <c r="D109" s="15">
        <v>177</v>
      </c>
      <c r="E109" s="32">
        <f t="shared" ref="E109:E112" si="54">IF(ISNUMBER(D109), (D109 - $B109) / $B109, "")</f>
        <v>7.926829268292683E-2</v>
      </c>
      <c r="F109" s="18">
        <f>IF(ISNUMBER(D109), $B118 * E109, "")</f>
        <v>23780.487804878048</v>
      </c>
      <c r="G109" s="31">
        <v>176</v>
      </c>
      <c r="H109" s="32">
        <f t="shared" ref="H109:H112" si="55">IF(ISNUMBER(G109), (G109 - $B109) / $B109, "")</f>
        <v>7.3170731707317069E-2</v>
      </c>
      <c r="I109" s="97">
        <f>IF(ISNUMBER(G109), $B118 * H109, "")</f>
        <v>21951.219512195119</v>
      </c>
      <c r="J109" s="15">
        <v>179</v>
      </c>
      <c r="K109" s="32">
        <f t="shared" ref="K109:K112" si="56">IF(ISNUMBER(J109), (J109 - $B109) / $B109, "")</f>
        <v>9.1463414634146339E-2</v>
      </c>
      <c r="L109" s="18">
        <f>IF(ISNUMBER(J109), $B118 * K109, "")</f>
        <v>27439.024390243903</v>
      </c>
      <c r="M109" s="31">
        <v>181</v>
      </c>
      <c r="N109" s="32">
        <f t="shared" ref="N109:N112" si="57">IF(ISNUMBER(M109), (M109 - $B109) / $B109, "")</f>
        <v>0.10365853658536585</v>
      </c>
      <c r="O109" s="18">
        <f>IF(ISNUMBER(M109), $B118 * N109, "")</f>
        <v>31097.560975609755</v>
      </c>
      <c r="Q109" s="290"/>
      <c r="R109" s="291"/>
      <c r="S109" s="292"/>
    </row>
    <row r="110" spans="1:19" ht="17.25" thickBot="1">
      <c r="A110" s="17" t="s">
        <v>69</v>
      </c>
      <c r="B110" s="15">
        <v>11710</v>
      </c>
      <c r="C110" s="32">
        <v>3.6283185799999999E-2</v>
      </c>
      <c r="D110" s="15">
        <v>12470</v>
      </c>
      <c r="E110" s="32">
        <f t="shared" si="54"/>
        <v>6.4901793339026473E-2</v>
      </c>
      <c r="F110" s="18">
        <f>IF(ISNUMBER(D110), $B118 * E110, "")</f>
        <v>19470.538001707941</v>
      </c>
      <c r="G110" s="31">
        <v>12400</v>
      </c>
      <c r="H110" s="32">
        <f t="shared" si="55"/>
        <v>5.8923996584116137E-2</v>
      </c>
      <c r="I110" s="97">
        <f>IF(ISNUMBER(G110), $B118 * H110, "")</f>
        <v>17677.198975234842</v>
      </c>
      <c r="J110" s="15">
        <v>12340</v>
      </c>
      <c r="K110" s="32">
        <f t="shared" si="56"/>
        <v>5.3800170794192997E-2</v>
      </c>
      <c r="L110" s="18">
        <f>IF(ISNUMBER(J110), $B118 * K110, "")</f>
        <v>16140.0512382579</v>
      </c>
      <c r="M110" s="31">
        <v>12440</v>
      </c>
      <c r="N110" s="32">
        <f t="shared" si="57"/>
        <v>6.2339880444064903E-2</v>
      </c>
      <c r="O110" s="18">
        <f>IF(ISNUMBER(M110), $B118 * N110, "")</f>
        <v>18701.96413321947</v>
      </c>
      <c r="Q110" s="275"/>
      <c r="R110" s="275"/>
      <c r="S110" s="275"/>
    </row>
    <row r="111" spans="1:19" ht="17.25" thickBot="1">
      <c r="A111" s="17" t="s">
        <v>76</v>
      </c>
      <c r="B111" s="15">
        <v>46510</v>
      </c>
      <c r="C111" s="32">
        <v>3.4705227999999998E-2</v>
      </c>
      <c r="D111" s="15">
        <v>47930</v>
      </c>
      <c r="E111" s="32">
        <f t="shared" si="54"/>
        <v>3.053106858740056E-2</v>
      </c>
      <c r="F111" s="18">
        <f>IF(ISNUMBER(D111), $B118 * E111, "")</f>
        <v>9159.3205762201687</v>
      </c>
      <c r="G111" s="31">
        <v>47750</v>
      </c>
      <c r="H111" s="32">
        <f t="shared" si="55"/>
        <v>2.6660933132659641E-2</v>
      </c>
      <c r="I111" s="97">
        <f>IF(ISNUMBER(G111), $B118 * H111, "")</f>
        <v>7998.2799397978924</v>
      </c>
      <c r="J111" s="15">
        <v>47620</v>
      </c>
      <c r="K111" s="32">
        <f t="shared" si="56"/>
        <v>2.3865835304235649E-2</v>
      </c>
      <c r="L111" s="18">
        <f>IF(ISNUMBER(J111), $B118 * K111, "")</f>
        <v>7159.7505912706947</v>
      </c>
      <c r="M111" s="31">
        <v>47740</v>
      </c>
      <c r="N111" s="32">
        <f t="shared" si="57"/>
        <v>2.644592560739626E-2</v>
      </c>
      <c r="O111" s="18">
        <f>IF(ISNUMBER(M111), $B118 * N111, "")</f>
        <v>7933.777682218878</v>
      </c>
      <c r="Q111" s="270"/>
      <c r="R111" s="270"/>
      <c r="S111" s="270"/>
    </row>
    <row r="112" spans="1:19" ht="17.25" thickBot="1">
      <c r="A112" s="19" t="s">
        <v>136</v>
      </c>
      <c r="B112" s="20">
        <v>250</v>
      </c>
      <c r="C112" s="21">
        <v>3.3057851200000002E-2</v>
      </c>
      <c r="D112" s="20">
        <v>245</v>
      </c>
      <c r="E112" s="21">
        <f t="shared" si="54"/>
        <v>-0.02</v>
      </c>
      <c r="F112" s="22">
        <f>IF(ISNUMBER(D112), $B118 * E112, "")</f>
        <v>-6000</v>
      </c>
      <c r="G112" s="30">
        <v>244</v>
      </c>
      <c r="H112" s="21">
        <f t="shared" si="55"/>
        <v>-2.4E-2</v>
      </c>
      <c r="I112" s="101">
        <f>IF(ISNUMBER(G112), $B118 * H112, "")</f>
        <v>-7200</v>
      </c>
      <c r="J112" s="20">
        <v>246</v>
      </c>
      <c r="K112" s="21">
        <f t="shared" si="56"/>
        <v>-1.6E-2</v>
      </c>
      <c r="L112" s="22">
        <f>IF(ISNUMBER(J112), $B118 * K112, "")</f>
        <v>-4800</v>
      </c>
      <c r="M112" s="30">
        <v>246</v>
      </c>
      <c r="N112" s="21">
        <f t="shared" si="57"/>
        <v>-1.6E-2</v>
      </c>
      <c r="O112" s="22">
        <f>IF(ISNUMBER(M112), $B118 * N112, "")</f>
        <v>-4800</v>
      </c>
      <c r="Q112" s="270"/>
      <c r="R112" s="270"/>
      <c r="S112" s="270"/>
    </row>
    <row r="113" spans="1:19" ht="17.25" thickBot="1">
      <c r="A113" s="17" t="s">
        <v>122</v>
      </c>
      <c r="B113" s="102">
        <v>126</v>
      </c>
      <c r="C113" s="103">
        <v>3.2786885199999997E-2</v>
      </c>
      <c r="D113" s="102">
        <v>129</v>
      </c>
      <c r="E113" s="103">
        <f>IF(ISNUMBER(D113), (D113 - $B113) / $B113, "")</f>
        <v>2.3809523809523808E-2</v>
      </c>
      <c r="F113" s="104">
        <f>IF(ISNUMBER(D113), $B118 * E113, "")</f>
        <v>7142.8571428571422</v>
      </c>
      <c r="G113" s="105">
        <v>129</v>
      </c>
      <c r="H113" s="103">
        <f>IF(ISNUMBER(G113), (G113 - $B113) / $B113, "")</f>
        <v>2.3809523809523808E-2</v>
      </c>
      <c r="I113" s="106">
        <f>IF(ISNUMBER(G113), $B118 * H113, "")</f>
        <v>7142.8571428571422</v>
      </c>
      <c r="J113" s="102">
        <v>130</v>
      </c>
      <c r="K113" s="103">
        <f>IF(ISNUMBER(J113), (J113 - $B113) / $B113, "")</f>
        <v>3.1746031746031744E-2</v>
      </c>
      <c r="L113" s="104">
        <f>IF(ISNUMBER(J113), $B118 * K113, "")</f>
        <v>9523.8095238095229</v>
      </c>
      <c r="M113" s="105">
        <v>130</v>
      </c>
      <c r="N113" s="103">
        <f>IF(ISNUMBER(M113), (M113 - $B113) / $B113, "")</f>
        <v>3.1746031746031744E-2</v>
      </c>
      <c r="O113" s="104">
        <f>IF(ISNUMBER(M113), $B118 * N113, "")</f>
        <v>9523.8095238095229</v>
      </c>
      <c r="Q113" s="275"/>
      <c r="R113" s="275"/>
      <c r="S113" s="275"/>
    </row>
    <row r="114" spans="1:19" ht="17.25" thickBot="1">
      <c r="A114" s="17" t="s">
        <v>72</v>
      </c>
      <c r="B114" s="15">
        <v>37.4</v>
      </c>
      <c r="C114" s="32">
        <v>3.0303030299999999E-2</v>
      </c>
      <c r="D114" s="15">
        <v>36.5</v>
      </c>
      <c r="E114" s="32">
        <f t="shared" ref="E114:E117" si="58">IF(ISNUMBER(D114), (D114 - $B114) / $B114, "")</f>
        <v>-2.4064171122994617E-2</v>
      </c>
      <c r="F114" s="18">
        <f>IF(ISNUMBER(D114), $B118 * E114, "")</f>
        <v>-7219.2513368983846</v>
      </c>
      <c r="G114" s="31">
        <v>36.5</v>
      </c>
      <c r="H114" s="32">
        <f t="shared" ref="H114:H117" si="59">IF(ISNUMBER(G114), (G114 - $B114) / $B114, "")</f>
        <v>-2.4064171122994617E-2</v>
      </c>
      <c r="I114" s="97">
        <f>IF(ISNUMBER(G114), $B118 * H114, "")</f>
        <v>-7219.2513368983846</v>
      </c>
      <c r="J114" s="15">
        <v>36.700000000000003</v>
      </c>
      <c r="K114" s="32">
        <f t="shared" ref="K114:K117" si="60">IF(ISNUMBER(J114), (J114 - $B114) / $B114, "")</f>
        <v>-1.8716577540106839E-2</v>
      </c>
      <c r="L114" s="18">
        <f>IF(ISNUMBER(J114), $B118 * K114, "")</f>
        <v>-5614.9732620320519</v>
      </c>
      <c r="M114" s="31">
        <v>36.799999999999997</v>
      </c>
      <c r="N114" s="32">
        <f t="shared" ref="N114:N117" si="61">IF(ISNUMBER(M114), (M114 - $B114) / $B114, "")</f>
        <v>-1.6042780748663141E-2</v>
      </c>
      <c r="O114" s="18">
        <f>IF(ISNUMBER(M114), $B118 * N114, "")</f>
        <v>-4812.8342245989425</v>
      </c>
      <c r="Q114" s="275"/>
      <c r="R114" s="275"/>
      <c r="S114" s="275"/>
    </row>
    <row r="115" spans="1:19" ht="17.25" thickBot="1">
      <c r="A115" s="17" t="s">
        <v>110</v>
      </c>
      <c r="B115" s="15">
        <v>3140</v>
      </c>
      <c r="C115" s="32">
        <v>2.78232406E-2</v>
      </c>
      <c r="D115" s="15">
        <v>3055</v>
      </c>
      <c r="E115" s="32">
        <f t="shared" si="58"/>
        <v>-2.7070063694267517E-2</v>
      </c>
      <c r="F115" s="18">
        <f>IF(ISNUMBER(D115), $B118 * E115, "")</f>
        <v>-8121.0191082802548</v>
      </c>
      <c r="G115" s="31">
        <v>3030</v>
      </c>
      <c r="H115" s="32">
        <f t="shared" si="59"/>
        <v>-3.5031847133757961E-2</v>
      </c>
      <c r="I115" s="97">
        <f>IF(ISNUMBER(G115), $B118 * H115, "")</f>
        <v>-10509.554140127388</v>
      </c>
      <c r="J115" s="15">
        <v>3070</v>
      </c>
      <c r="K115" s="32">
        <f t="shared" si="60"/>
        <v>-2.2292993630573247E-2</v>
      </c>
      <c r="L115" s="18">
        <f>IF(ISNUMBER(J115), $B118 * K115, "")</f>
        <v>-6687.8980891719739</v>
      </c>
      <c r="M115" s="31">
        <v>3120</v>
      </c>
      <c r="N115" s="32">
        <f t="shared" si="61"/>
        <v>-6.369426751592357E-3</v>
      </c>
      <c r="O115" s="18">
        <f>IF(ISNUMBER(M115), $B118 * N115, "")</f>
        <v>-1910.8280254777071</v>
      </c>
      <c r="Q115" s="275"/>
      <c r="R115" s="275"/>
      <c r="S115" s="275"/>
    </row>
    <row r="116" spans="1:19">
      <c r="A116" s="17" t="s">
        <v>114</v>
      </c>
      <c r="B116" s="15">
        <v>13520</v>
      </c>
      <c r="C116" s="32">
        <v>2.57966616E-2</v>
      </c>
      <c r="D116" s="15">
        <v>13180</v>
      </c>
      <c r="E116" s="32">
        <f t="shared" si="58"/>
        <v>-2.514792899408284E-2</v>
      </c>
      <c r="F116" s="18">
        <f>IF(ISNUMBER(D116), $B118 * E116, "")</f>
        <v>-7544.3786982248521</v>
      </c>
      <c r="G116" s="31">
        <v>13200</v>
      </c>
      <c r="H116" s="32">
        <f t="shared" si="59"/>
        <v>-2.3668639053254437E-2</v>
      </c>
      <c r="I116" s="97">
        <f>IF(ISNUMBER(G116), $B118 * H116, "")</f>
        <v>-7100.5917159763312</v>
      </c>
      <c r="J116" s="15">
        <v>13220</v>
      </c>
      <c r="K116" s="32">
        <f t="shared" si="60"/>
        <v>-2.2189349112426034E-2</v>
      </c>
      <c r="L116" s="18">
        <f>IF(ISNUMBER(J116), $B118 * K116, "")</f>
        <v>-6656.8047337278103</v>
      </c>
      <c r="M116" s="31">
        <v>13350</v>
      </c>
      <c r="N116" s="32">
        <f t="shared" si="61"/>
        <v>-1.257396449704142E-2</v>
      </c>
      <c r="O116" s="18">
        <f>IF(ISNUMBER(M116), $B118 * N116, "")</f>
        <v>-3772.189349112426</v>
      </c>
      <c r="Q116" s="297"/>
      <c r="R116" s="298"/>
      <c r="S116" s="299"/>
    </row>
    <row r="117" spans="1:19" ht="17.25" thickBot="1">
      <c r="A117" s="23" t="s">
        <v>166</v>
      </c>
      <c r="B117" s="24">
        <v>2510</v>
      </c>
      <c r="C117" s="25">
        <v>2.44897959E-2</v>
      </c>
      <c r="D117" s="24">
        <v>2485</v>
      </c>
      <c r="E117" s="25">
        <f t="shared" si="58"/>
        <v>-9.9601593625498006E-3</v>
      </c>
      <c r="F117" s="100">
        <f>IF(ISNUMBER(D117), $B118 * E117, "")</f>
        <v>-2988.0478087649403</v>
      </c>
      <c r="G117" s="98">
        <v>2485</v>
      </c>
      <c r="H117" s="25">
        <f t="shared" si="59"/>
        <v>-9.9601593625498006E-3</v>
      </c>
      <c r="I117" s="99">
        <f>IF(ISNUMBER(G117), $B118 * H117, "")</f>
        <v>-2988.0478087649403</v>
      </c>
      <c r="J117" s="24">
        <v>2520</v>
      </c>
      <c r="K117" s="25">
        <f t="shared" si="60"/>
        <v>3.9840637450199202E-3</v>
      </c>
      <c r="L117" s="100">
        <f>IF(ISNUMBER(J117), $B118 * K117, "")</f>
        <v>1195.2191235059761</v>
      </c>
      <c r="M117" s="98">
        <v>2545</v>
      </c>
      <c r="N117" s="25">
        <f t="shared" si="61"/>
        <v>1.3944223107569721E-2</v>
      </c>
      <c r="O117" s="100">
        <f>IF(ISNUMBER(M117), $B118 * N117, "")</f>
        <v>4183.2669322709162</v>
      </c>
      <c r="Q117" s="300"/>
      <c r="R117" s="301"/>
      <c r="S117" s="302"/>
    </row>
    <row r="118" spans="1:19" ht="17.25" thickBot="1">
      <c r="A118" s="26" t="s">
        <v>301</v>
      </c>
      <c r="B118" s="306">
        <f>$B$37</f>
        <v>300000</v>
      </c>
      <c r="C118" s="307"/>
      <c r="D118" s="26" t="s">
        <v>302</v>
      </c>
      <c r="E118" s="27">
        <f>IF(COUNT(E98:E117), SUM(E98:E117) / COUNT(E98:E117), 0)</f>
        <v>1.9863329532690366E-3</v>
      </c>
      <c r="F118" s="28">
        <f>SUM(F98:F117)</f>
        <v>11917.997719614215</v>
      </c>
      <c r="G118" s="26" t="s">
        <v>302</v>
      </c>
      <c r="H118" s="27">
        <f>IF(COUNT(H98:H117), SUM(H98:H117) / COUNT(H98:H117), 0)</f>
        <v>3.1705179367788605E-3</v>
      </c>
      <c r="I118" s="28">
        <f>SUM(I98:I117)</f>
        <v>19023.107620673156</v>
      </c>
      <c r="J118" s="26" t="s">
        <v>302</v>
      </c>
      <c r="K118" s="27">
        <f>IF(COUNT(K98:K117), SUM(K98:K117) / COUNT(K98:K117), 0)</f>
        <v>7.3366014505818408E-3</v>
      </c>
      <c r="L118" s="28">
        <f>SUM(L98:L117)</f>
        <v>44019.60870349106</v>
      </c>
      <c r="M118" s="26" t="s">
        <v>302</v>
      </c>
      <c r="N118" s="27">
        <f>IF(COUNT(N98:N117), SUM(N98:N117) / COUNT(N98:N117), 0)</f>
        <v>1.2667914716442175E-2</v>
      </c>
      <c r="O118" s="28">
        <f>SUM(O98:O117)</f>
        <v>76007.488298653043</v>
      </c>
      <c r="Q118" s="303"/>
      <c r="R118" s="304"/>
      <c r="S118" s="305"/>
    </row>
    <row r="120" spans="1:19" ht="17.25" thickBot="1"/>
    <row r="121" spans="1:19" ht="17.25" thickBot="1">
      <c r="A121" s="249" t="s">
        <v>288</v>
      </c>
      <c r="B121" s="250"/>
      <c r="C121" s="250"/>
      <c r="D121" s="250"/>
      <c r="E121" s="250"/>
      <c r="F121" s="250"/>
      <c r="G121" s="250"/>
      <c r="H121" s="250"/>
      <c r="I121" s="250"/>
      <c r="J121" s="250"/>
      <c r="K121" s="250"/>
      <c r="L121" s="250"/>
      <c r="M121" s="250"/>
      <c r="N121" s="250"/>
      <c r="O121" s="251"/>
      <c r="Q121" s="270"/>
      <c r="R121" s="270"/>
      <c r="S121" s="270"/>
    </row>
    <row r="122" spans="1:19" ht="17.25" thickBot="1">
      <c r="A122" s="107" t="s">
        <v>298</v>
      </c>
      <c r="B122" s="249" t="s">
        <v>49</v>
      </c>
      <c r="C122" s="251"/>
      <c r="D122" s="249" t="s">
        <v>58</v>
      </c>
      <c r="E122" s="250"/>
      <c r="F122" s="251"/>
      <c r="G122" s="276">
        <f>_xlfn.IFNA(VLOOKUP(B122, 현재가테이블!$B$2:$D$200, 2, FALSE), "-")</f>
        <v>60874000</v>
      </c>
      <c r="H122" s="277"/>
      <c r="I122" s="278"/>
      <c r="J122" s="249" t="s">
        <v>59</v>
      </c>
      <c r="K122" s="250"/>
      <c r="L122" s="251"/>
      <c r="M122" s="279">
        <f>_xlfn.IFNA(VLOOKUP(B122, 현재가테이블!$B$2:$D$200, 3, FALSE), "-")</f>
        <v>-1.4936000099999999E-2</v>
      </c>
      <c r="N122" s="280"/>
      <c r="O122" s="281"/>
      <c r="Q122" s="270"/>
      <c r="R122" s="270"/>
      <c r="S122" s="270"/>
    </row>
    <row r="123" spans="1:19" ht="17.25" thickBot="1">
      <c r="A123" s="293" t="s">
        <v>55</v>
      </c>
      <c r="B123" s="295" t="str">
        <f>TEXT($G$1, "[$-ko-KR]yyyy-mm-dd(ddd) ") &amp; "오전 00:00"</f>
        <v>2021-05-02(일) 오전 00:00</v>
      </c>
      <c r="C123" s="296"/>
      <c r="D123" s="272" t="str">
        <f>TEXT($G$1, "[$-ko-KR]yyyy-mm-dd(ddd) ") &amp; "오후 14:00"</f>
        <v>2021-05-02(일) 오후 14:00</v>
      </c>
      <c r="E123" s="273"/>
      <c r="F123" s="274"/>
      <c r="G123" s="272" t="str">
        <f>TEXT($G$1, "[$-ko-KR]yyyy-mm-dd(ddd) ") &amp; "오후 19:00"</f>
        <v>2021-05-02(일) 오후 19:00</v>
      </c>
      <c r="H123" s="273"/>
      <c r="I123" s="274"/>
      <c r="J123" s="272" t="str">
        <f>TEXT($G$1, "[$-ko-KR]yyyy-mm-dd(ddd) ") &amp; "오후 21:00"</f>
        <v>2021-05-02(일) 오후 21:00</v>
      </c>
      <c r="K123" s="273"/>
      <c r="L123" s="274"/>
      <c r="M123" s="272" t="str">
        <f>TEXT($G$1+1, "[$-ko-KR]yyyy-mm-dd(ddd) ") &amp; "오전 00:00"</f>
        <v>2021-05-03(월) 오전 00:00</v>
      </c>
      <c r="N123" s="273"/>
      <c r="O123" s="274"/>
      <c r="Q123" s="270"/>
      <c r="R123" s="270"/>
      <c r="S123" s="270"/>
    </row>
    <row r="124" spans="1:19" ht="17.25" thickBot="1">
      <c r="A124" s="294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75"/>
      <c r="R124" s="275"/>
      <c r="S124" s="275"/>
    </row>
    <row r="125" spans="1:19" ht="17.25" thickBot="1">
      <c r="A125" s="12" t="s">
        <v>72</v>
      </c>
      <c r="B125" s="13">
        <v>37.4</v>
      </c>
      <c r="C125" s="14">
        <v>3.0303030299999999E-2</v>
      </c>
      <c r="D125" s="13">
        <v>36.5</v>
      </c>
      <c r="E125" s="14">
        <f>IF(ISNUMBER(D125), (D125 - $B125) / $B125, "")</f>
        <v>-2.4064171122994617E-2</v>
      </c>
      <c r="F125" s="16">
        <f>IF(ISNUMBER(D125), $B145 * E125, "")</f>
        <v>-7219.2513368983846</v>
      </c>
      <c r="G125" s="29">
        <v>36.5</v>
      </c>
      <c r="H125" s="14">
        <f>IF(ISNUMBER(G125), (G125 - $B125) / $B125, "")</f>
        <v>-2.4064171122994617E-2</v>
      </c>
      <c r="I125" s="96">
        <f>IF(ISNUMBER(G125), $B145 * H125, "")</f>
        <v>-7219.2513368983846</v>
      </c>
      <c r="J125" s="13">
        <v>36.700000000000003</v>
      </c>
      <c r="K125" s="14">
        <f>IF(ISNUMBER(J125), (J125 - $B125) / $B125, "")</f>
        <v>-1.8716577540106839E-2</v>
      </c>
      <c r="L125" s="16">
        <f>IF(ISNUMBER(J125), $B145 * K125, "")</f>
        <v>-5614.9732620320519</v>
      </c>
      <c r="M125" s="29">
        <v>36.799999999999997</v>
      </c>
      <c r="N125" s="14">
        <f>IF(ISNUMBER(M125), (M125 - $B125) / $B125, "")</f>
        <v>-1.6042780748663141E-2</v>
      </c>
      <c r="O125" s="16">
        <f>IF(ISNUMBER(M125), $B145 * N125, "")</f>
        <v>-4812.8342245989425</v>
      </c>
      <c r="Q125" s="270"/>
      <c r="R125" s="270"/>
      <c r="S125" s="270"/>
    </row>
    <row r="126" spans="1:19" ht="17.25" thickBot="1">
      <c r="A126" s="17" t="s">
        <v>100</v>
      </c>
      <c r="B126" s="15">
        <v>8.5500000000000007</v>
      </c>
      <c r="C126" s="32">
        <v>2.3446659E-3</v>
      </c>
      <c r="D126" s="15">
        <v>8.4499999999999993</v>
      </c>
      <c r="E126" s="32">
        <f t="shared" ref="E126:E129" si="62">IF(ISNUMBER(D126), (D126 - $B126) / $B126, "")</f>
        <v>-1.1695906432748704E-2</v>
      </c>
      <c r="F126" s="18">
        <f>IF(ISNUMBER(D126), $B145 * E126, "")</f>
        <v>-3508.7719298246111</v>
      </c>
      <c r="G126" s="31">
        <v>8.41</v>
      </c>
      <c r="H126" s="32">
        <f t="shared" ref="H126:H129" si="63">IF(ISNUMBER(G126), (G126 - $B126) / $B126, "")</f>
        <v>-1.6374269005848017E-2</v>
      </c>
      <c r="I126" s="97">
        <f>IF(ISNUMBER(G126), $B145 * H126, "")</f>
        <v>-4912.2807017544046</v>
      </c>
      <c r="J126" s="15">
        <v>8.44</v>
      </c>
      <c r="K126" s="32">
        <f t="shared" ref="K126:K129" si="64">IF(ISNUMBER(J126), (J126 - $B126) / $B126, "")</f>
        <v>-1.2865497076023531E-2</v>
      </c>
      <c r="L126" s="18">
        <f>IF(ISNUMBER(J126), $B145 * K126, "")</f>
        <v>-3859.6491228070595</v>
      </c>
      <c r="M126" s="31">
        <v>8.44</v>
      </c>
      <c r="N126" s="32">
        <f t="shared" ref="N126:N129" si="65">IF(ISNUMBER(M126), (M126 - $B126) / $B126, "")</f>
        <v>-1.2865497076023531E-2</v>
      </c>
      <c r="O126" s="18">
        <f>IF(ISNUMBER(M126), $B145 * N126, "")</f>
        <v>-3859.6491228070595</v>
      </c>
      <c r="Q126" s="270"/>
      <c r="R126" s="270"/>
      <c r="S126" s="270"/>
    </row>
    <row r="127" spans="1:19" ht="17.25" thickBot="1">
      <c r="A127" s="17" t="s">
        <v>228</v>
      </c>
      <c r="B127" s="15">
        <v>19.899999999999999</v>
      </c>
      <c r="C127" s="32">
        <v>-9.9502488000000004E-3</v>
      </c>
      <c r="D127" s="15">
        <v>20.100000000000001</v>
      </c>
      <c r="E127" s="32">
        <f t="shared" si="62"/>
        <v>1.0050251256281551E-2</v>
      </c>
      <c r="F127" s="18">
        <f>IF(ISNUMBER(D127), $B145 * E127, "")</f>
        <v>3015.0753768844652</v>
      </c>
      <c r="G127" s="31">
        <v>20.399999999999999</v>
      </c>
      <c r="H127" s="32">
        <f t="shared" si="63"/>
        <v>2.5125628140703519E-2</v>
      </c>
      <c r="I127" s="97">
        <f>IF(ISNUMBER(G127), $B145 * H127, "")</f>
        <v>7537.6884422110561</v>
      </c>
      <c r="J127" s="15">
        <v>20.5</v>
      </c>
      <c r="K127" s="32">
        <f t="shared" si="64"/>
        <v>3.0150753768844296E-2</v>
      </c>
      <c r="L127" s="18">
        <f>IF(ISNUMBER(J127), $B145 * K127, "")</f>
        <v>9045.2261306532891</v>
      </c>
      <c r="M127" s="31">
        <v>20.6</v>
      </c>
      <c r="N127" s="32">
        <f t="shared" si="65"/>
        <v>3.517587939698507E-2</v>
      </c>
      <c r="O127" s="18">
        <f>IF(ISNUMBER(M127), $B145 * N127, "")</f>
        <v>10552.76381909552</v>
      </c>
      <c r="Q127" s="275"/>
      <c r="R127" s="275"/>
      <c r="S127" s="275"/>
    </row>
    <row r="128" spans="1:19" ht="17.25" thickBot="1">
      <c r="A128" s="17" t="s">
        <v>220</v>
      </c>
      <c r="B128" s="15">
        <v>20.2</v>
      </c>
      <c r="C128" s="32">
        <v>-1.9417475699999999E-2</v>
      </c>
      <c r="D128" s="15">
        <v>20.100000000000001</v>
      </c>
      <c r="E128" s="32">
        <f t="shared" si="62"/>
        <v>-4.9504950495048447E-3</v>
      </c>
      <c r="F128" s="18">
        <f>IF(ISNUMBER(D128), $B145 * E128, "")</f>
        <v>-1485.1485148514535</v>
      </c>
      <c r="G128" s="31">
        <v>20.100000000000001</v>
      </c>
      <c r="H128" s="32">
        <f t="shared" si="63"/>
        <v>-4.9504950495048447E-3</v>
      </c>
      <c r="I128" s="97">
        <f>IF(ISNUMBER(G128), $B145 * H128, "")</f>
        <v>-1485.1485148514535</v>
      </c>
      <c r="J128" s="15">
        <v>20.100000000000001</v>
      </c>
      <c r="K128" s="32">
        <f t="shared" si="64"/>
        <v>-4.9504950495048447E-3</v>
      </c>
      <c r="L128" s="18">
        <f>IF(ISNUMBER(J128), $B145 * K128, "")</f>
        <v>-1485.1485148514535</v>
      </c>
      <c r="M128" s="31">
        <v>20.3</v>
      </c>
      <c r="N128" s="32">
        <f t="shared" si="65"/>
        <v>4.9504950495050208E-3</v>
      </c>
      <c r="O128" s="18">
        <f>IF(ISNUMBER(M128), $B145 * N128, "")</f>
        <v>1485.1485148515062</v>
      </c>
      <c r="Q128" s="275"/>
      <c r="R128" s="275"/>
      <c r="S128" s="275"/>
    </row>
    <row r="129" spans="1:19" ht="17.25" thickBot="1">
      <c r="A129" s="19" t="s">
        <v>222</v>
      </c>
      <c r="B129" s="20">
        <v>20.100000000000001</v>
      </c>
      <c r="C129" s="21">
        <v>-1.9512195100000001E-2</v>
      </c>
      <c r="D129" s="20">
        <v>20</v>
      </c>
      <c r="E129" s="21">
        <f t="shared" si="62"/>
        <v>-4.9751243781095229E-3</v>
      </c>
      <c r="F129" s="22">
        <f>IF(ISNUMBER(D129), $B145 * E129, "")</f>
        <v>-1492.5373134328568</v>
      </c>
      <c r="G129" s="30">
        <v>19.899999999999999</v>
      </c>
      <c r="H129" s="21">
        <f t="shared" si="63"/>
        <v>-9.9502487562190458E-3</v>
      </c>
      <c r="I129" s="101">
        <f>IF(ISNUMBER(G129), $B145 * H129, "")</f>
        <v>-2985.0746268657135</v>
      </c>
      <c r="J129" s="20">
        <v>20</v>
      </c>
      <c r="K129" s="21">
        <f t="shared" si="64"/>
        <v>-4.9751243781095229E-3</v>
      </c>
      <c r="L129" s="22">
        <f>IF(ISNUMBER(J129), $B145 * K129, "")</f>
        <v>-1492.5373134328568</v>
      </c>
      <c r="M129" s="30">
        <v>20.3</v>
      </c>
      <c r="N129" s="21">
        <f t="shared" si="65"/>
        <v>9.9502487562188689E-3</v>
      </c>
      <c r="O129" s="22">
        <f>IF(ISNUMBER(M129), $B145 * N129, "")</f>
        <v>2985.0746268656608</v>
      </c>
      <c r="Q129" s="275"/>
      <c r="R129" s="275"/>
      <c r="S129" s="275"/>
    </row>
    <row r="130" spans="1:19" ht="17.25" thickBot="1">
      <c r="A130" s="17" t="s">
        <v>198</v>
      </c>
      <c r="B130" s="102">
        <v>31.7</v>
      </c>
      <c r="C130" s="103">
        <v>-2.1604938300000001E-2</v>
      </c>
      <c r="D130" s="102">
        <v>31.5</v>
      </c>
      <c r="E130" s="103">
        <f>IF(ISNUMBER(D130), (D130 - $B130) / $B130, "")</f>
        <v>-6.3091482649842053E-3</v>
      </c>
      <c r="F130" s="104">
        <f>IF(ISNUMBER(D130), $B145 * E130, "")</f>
        <v>-1892.7444794952617</v>
      </c>
      <c r="G130" s="105">
        <v>31.4</v>
      </c>
      <c r="H130" s="103">
        <f>IF(ISNUMBER(G130), (G130 - $B130) / $B130, "")</f>
        <v>-9.4637223974763634E-3</v>
      </c>
      <c r="I130" s="106">
        <f>IF(ISNUMBER(G130), $B145 * H130, "")</f>
        <v>-2839.1167192429089</v>
      </c>
      <c r="J130" s="102">
        <v>31.4</v>
      </c>
      <c r="K130" s="103">
        <f>IF(ISNUMBER(J130), (J130 - $B130) / $B130, "")</f>
        <v>-9.4637223974763634E-3</v>
      </c>
      <c r="L130" s="104">
        <f>IF(ISNUMBER(J130), $B145 * K130, "")</f>
        <v>-2839.1167192429089</v>
      </c>
      <c r="M130" s="105">
        <v>31.6</v>
      </c>
      <c r="N130" s="103">
        <f>IF(ISNUMBER(M130), (M130 - $B130) / $B130, "")</f>
        <v>-3.1545741324920462E-3</v>
      </c>
      <c r="O130" s="104">
        <f>IF(ISNUMBER(M130), $B145 * N130, "")</f>
        <v>-946.37223974761389</v>
      </c>
      <c r="Q130" s="275"/>
      <c r="R130" s="275"/>
      <c r="S130" s="275"/>
    </row>
    <row r="131" spans="1:19" ht="17.25" thickBot="1">
      <c r="A131" s="17" t="s">
        <v>266</v>
      </c>
      <c r="B131" s="15">
        <v>93.6</v>
      </c>
      <c r="C131" s="32">
        <v>-2.19435737E-2</v>
      </c>
      <c r="D131" s="15">
        <v>93.3</v>
      </c>
      <c r="E131" s="32">
        <f t="shared" ref="E131:E134" si="66">IF(ISNUMBER(D131), (D131 - $B131) / $B131, "")</f>
        <v>-3.2051282051281751E-3</v>
      </c>
      <c r="F131" s="18">
        <f>IF(ISNUMBER(D131), $B145 * E131, "")</f>
        <v>-961.53846153845257</v>
      </c>
      <c r="G131" s="31">
        <v>94</v>
      </c>
      <c r="H131" s="32">
        <f t="shared" ref="H131:H134" si="67">IF(ISNUMBER(G131), (G131 - $B131) / $B131, "")</f>
        <v>4.2735042735043346E-3</v>
      </c>
      <c r="I131" s="97">
        <f>IF(ISNUMBER(G131), $B145 * H131, "")</f>
        <v>1282.0512820513004</v>
      </c>
      <c r="J131" s="15">
        <v>94.5</v>
      </c>
      <c r="K131" s="32">
        <f t="shared" ref="K131:K134" si="68">IF(ISNUMBER(J131), (J131 - $B131) / $B131, "")</f>
        <v>9.6153846153846766E-3</v>
      </c>
      <c r="L131" s="18">
        <f>IF(ISNUMBER(J131), $B145 * K131, "")</f>
        <v>2884.6153846154029</v>
      </c>
      <c r="M131" s="31">
        <v>95.4</v>
      </c>
      <c r="N131" s="32">
        <f t="shared" ref="N131:N134" si="69">IF(ISNUMBER(M131), (M131 - $B131) / $B131, "")</f>
        <v>1.9230769230769353E-2</v>
      </c>
      <c r="O131" s="18">
        <f>IF(ISNUMBER(M131), $B145 * N131, "")</f>
        <v>5769.2307692308059</v>
      </c>
      <c r="Q131" s="275"/>
      <c r="R131" s="275"/>
      <c r="S131" s="275"/>
    </row>
    <row r="132" spans="1:19" ht="17.25" thickBot="1">
      <c r="A132" s="17" t="s">
        <v>154</v>
      </c>
      <c r="B132" s="15">
        <v>22.2</v>
      </c>
      <c r="C132" s="32">
        <v>-2.2026431700000002E-2</v>
      </c>
      <c r="D132" s="15">
        <v>21.9</v>
      </c>
      <c r="E132" s="32">
        <f t="shared" si="66"/>
        <v>-1.3513513513513545E-2</v>
      </c>
      <c r="F132" s="18">
        <f>IF(ISNUMBER(D132), $B145 * E132, "")</f>
        <v>-4054.0540540540637</v>
      </c>
      <c r="G132" s="31">
        <v>22</v>
      </c>
      <c r="H132" s="32">
        <f t="shared" si="67"/>
        <v>-9.0090090090089777E-3</v>
      </c>
      <c r="I132" s="97">
        <f>IF(ISNUMBER(G132), $B145 * H132, "")</f>
        <v>-2702.7027027026934</v>
      </c>
      <c r="J132" s="15">
        <v>22.1</v>
      </c>
      <c r="K132" s="32">
        <f t="shared" si="68"/>
        <v>-4.5045045045044091E-3</v>
      </c>
      <c r="L132" s="18">
        <f>IF(ISNUMBER(J132), $B145 * K132, "")</f>
        <v>-1351.3513513513228</v>
      </c>
      <c r="M132" s="31">
        <v>22.3</v>
      </c>
      <c r="N132" s="32">
        <f t="shared" si="69"/>
        <v>4.5045045045045687E-3</v>
      </c>
      <c r="O132" s="18">
        <f>IF(ISNUMBER(M132), $B145 * N132, "")</f>
        <v>1351.3513513513706</v>
      </c>
      <c r="Q132" s="275"/>
      <c r="R132" s="275"/>
      <c r="S132" s="275"/>
    </row>
    <row r="133" spans="1:19" ht="17.25" thickBot="1">
      <c r="A133" s="17" t="s">
        <v>236</v>
      </c>
      <c r="B133" s="15">
        <v>77.3</v>
      </c>
      <c r="C133" s="32">
        <v>-2.3989898999999999E-2</v>
      </c>
      <c r="D133" s="15">
        <v>76.099999999999994</v>
      </c>
      <c r="E133" s="32">
        <f t="shared" si="66"/>
        <v>-1.5523932729624875E-2</v>
      </c>
      <c r="F133" s="18">
        <f>IF(ISNUMBER(D133), $B145 * E133, "")</f>
        <v>-4657.1798188874627</v>
      </c>
      <c r="G133" s="31">
        <v>75.599999999999994</v>
      </c>
      <c r="H133" s="32">
        <f t="shared" si="67"/>
        <v>-2.1992238033635224E-2</v>
      </c>
      <c r="I133" s="97">
        <f>IF(ISNUMBER(G133), $B145 * H133, "")</f>
        <v>-6597.6714100905674</v>
      </c>
      <c r="J133" s="15">
        <v>76.099999999999994</v>
      </c>
      <c r="K133" s="32">
        <f t="shared" si="68"/>
        <v>-1.5523932729624875E-2</v>
      </c>
      <c r="L133" s="18">
        <f>IF(ISNUMBER(J133), $B145 * K133, "")</f>
        <v>-4657.1798188874627</v>
      </c>
      <c r="M133" s="31">
        <v>77.2</v>
      </c>
      <c r="N133" s="32">
        <f t="shared" si="69"/>
        <v>-1.2936610608019965E-3</v>
      </c>
      <c r="O133" s="18">
        <f>IF(ISNUMBER(M133), $B145 * N133, "")</f>
        <v>-388.09831824059893</v>
      </c>
      <c r="Q133" s="33"/>
      <c r="R133" s="33"/>
    </row>
    <row r="134" spans="1:19" ht="17.25" thickBot="1">
      <c r="A134" s="23" t="s">
        <v>214</v>
      </c>
      <c r="B134" s="24">
        <v>24.2</v>
      </c>
      <c r="C134" s="25">
        <v>-2.4193548400000001E-2</v>
      </c>
      <c r="D134" s="24">
        <v>24.1</v>
      </c>
      <c r="E134" s="25">
        <f t="shared" si="66"/>
        <v>-4.1322314049585893E-3</v>
      </c>
      <c r="F134" s="100">
        <f>IF(ISNUMBER(D134), $B145 * E134, "")</f>
        <v>-1239.6694214875768</v>
      </c>
      <c r="G134" s="98">
        <v>24</v>
      </c>
      <c r="H134" s="25">
        <f t="shared" si="67"/>
        <v>-8.2644628099173261E-3</v>
      </c>
      <c r="I134" s="99">
        <f>IF(ISNUMBER(G134), $B145 * H134, "")</f>
        <v>-2479.3388429751976</v>
      </c>
      <c r="J134" s="24">
        <v>24.2</v>
      </c>
      <c r="K134" s="25">
        <f t="shared" si="68"/>
        <v>0</v>
      </c>
      <c r="L134" s="100">
        <f>IF(ISNUMBER(J134), $B145 * K134, "")</f>
        <v>0</v>
      </c>
      <c r="M134" s="98">
        <v>24.5</v>
      </c>
      <c r="N134" s="25">
        <f t="shared" si="69"/>
        <v>1.2396694214876063E-2</v>
      </c>
      <c r="O134" s="100">
        <f>IF(ISNUMBER(M134), $B145 * N134, "")</f>
        <v>3719.0082644628187</v>
      </c>
      <c r="Q134" s="284"/>
      <c r="R134" s="285"/>
      <c r="S134" s="286"/>
    </row>
    <row r="135" spans="1:19">
      <c r="A135" s="12" t="s">
        <v>152</v>
      </c>
      <c r="B135" s="13">
        <v>46.9</v>
      </c>
      <c r="C135" s="14">
        <v>-2.4948024900000001E-2</v>
      </c>
      <c r="D135" s="13">
        <v>48.7</v>
      </c>
      <c r="E135" s="14">
        <f>IF(ISNUMBER(D135), (D135 - $B135) / $B135, "")</f>
        <v>3.8379530916844443E-2</v>
      </c>
      <c r="F135" s="16">
        <f>IF(ISNUMBER(D135), $B145 * E135, "")</f>
        <v>11513.859275053333</v>
      </c>
      <c r="G135" s="29">
        <v>49.2</v>
      </c>
      <c r="H135" s="14">
        <f>IF(ISNUMBER(G135), (G135 - $B135) / $B135, "")</f>
        <v>4.9040511727078982E-2</v>
      </c>
      <c r="I135" s="96">
        <f>IF(ISNUMBER(G135), $B145 * H135, "")</f>
        <v>14712.153518123694</v>
      </c>
      <c r="J135" s="13">
        <v>50</v>
      </c>
      <c r="K135" s="14">
        <f>IF(ISNUMBER(J135), (J135 - $B135) / $B135, "")</f>
        <v>6.6098081023454186E-2</v>
      </c>
      <c r="L135" s="16">
        <f>IF(ISNUMBER(J135), $B145 * K135, "")</f>
        <v>19829.424307036257</v>
      </c>
      <c r="M135" s="29">
        <v>50</v>
      </c>
      <c r="N135" s="14">
        <f>IF(ISNUMBER(M135), (M135 - $B135) / $B135, "")</f>
        <v>6.6098081023454186E-2</v>
      </c>
      <c r="O135" s="16">
        <f>IF(ISNUMBER(M135), $B145 * N135, "")</f>
        <v>19829.424307036257</v>
      </c>
      <c r="Q135" s="287"/>
      <c r="R135" s="288"/>
      <c r="S135" s="289"/>
    </row>
    <row r="136" spans="1:19" ht="17.25" thickBot="1">
      <c r="A136" s="17" t="s">
        <v>268</v>
      </c>
      <c r="B136" s="15">
        <v>97</v>
      </c>
      <c r="C136" s="32">
        <v>-2.5125628099999998E-2</v>
      </c>
      <c r="D136" s="15">
        <v>101</v>
      </c>
      <c r="E136" s="32">
        <f t="shared" ref="E136:E139" si="70">IF(ISNUMBER(D136), (D136 - $B136) / $B136, "")</f>
        <v>4.1237113402061855E-2</v>
      </c>
      <c r="F136" s="18">
        <f>IF(ISNUMBER(D136), $B145 * E136, "")</f>
        <v>12371.134020618556</v>
      </c>
      <c r="G136" s="31">
        <v>100</v>
      </c>
      <c r="H136" s="32">
        <f t="shared" ref="H136:H139" si="71">IF(ISNUMBER(G136), (G136 - $B136) / $B136, "")</f>
        <v>3.0927835051546393E-2</v>
      </c>
      <c r="I136" s="97">
        <f>IF(ISNUMBER(G136), $B145 * H136, "")</f>
        <v>9278.350515463917</v>
      </c>
      <c r="J136" s="15">
        <v>101</v>
      </c>
      <c r="K136" s="32">
        <f t="shared" ref="K136:K139" si="72">IF(ISNUMBER(J136), (J136 - $B136) / $B136, "")</f>
        <v>4.1237113402061855E-2</v>
      </c>
      <c r="L136" s="18">
        <f>IF(ISNUMBER(J136), $B145 * K136, "")</f>
        <v>12371.134020618556</v>
      </c>
      <c r="M136" s="31">
        <v>101</v>
      </c>
      <c r="N136" s="32">
        <f t="shared" ref="N136:N139" si="73">IF(ISNUMBER(M136), (M136 - $B136) / $B136, "")</f>
        <v>4.1237113402061855E-2</v>
      </c>
      <c r="O136" s="18">
        <f>IF(ISNUMBER(M136), $B145 * N136, "")</f>
        <v>12371.134020618556</v>
      </c>
      <c r="Q136" s="290"/>
      <c r="R136" s="291"/>
      <c r="S136" s="292"/>
    </row>
    <row r="137" spans="1:19" ht="17.25" thickBot="1">
      <c r="A137" s="17" t="s">
        <v>196</v>
      </c>
      <c r="B137" s="15">
        <v>21.9</v>
      </c>
      <c r="C137" s="32">
        <v>-2.6666666700000001E-2</v>
      </c>
      <c r="D137" s="15">
        <v>21.7</v>
      </c>
      <c r="E137" s="32">
        <f t="shared" si="70"/>
        <v>-9.1324200913241692E-3</v>
      </c>
      <c r="F137" s="18">
        <f>IF(ISNUMBER(D137), $B145 * E137, "")</f>
        <v>-2739.7260273972506</v>
      </c>
      <c r="G137" s="31">
        <v>21.6</v>
      </c>
      <c r="H137" s="32">
        <f t="shared" si="71"/>
        <v>-1.3698630136986172E-2</v>
      </c>
      <c r="I137" s="97">
        <f>IF(ISNUMBER(G137), $B145 * H137, "")</f>
        <v>-4109.5890410958518</v>
      </c>
      <c r="J137" s="15">
        <v>21.8</v>
      </c>
      <c r="K137" s="32">
        <f t="shared" si="72"/>
        <v>-4.5662100456620031E-3</v>
      </c>
      <c r="L137" s="18">
        <f>IF(ISNUMBER(J137), $B145 * K137, "")</f>
        <v>-1369.863013698601</v>
      </c>
      <c r="M137" s="31">
        <v>21.8</v>
      </c>
      <c r="N137" s="32">
        <f t="shared" si="73"/>
        <v>-4.5662100456620031E-3</v>
      </c>
      <c r="O137" s="18">
        <f>IF(ISNUMBER(M137), $B145 * N137, "")</f>
        <v>-1369.863013698601</v>
      </c>
      <c r="Q137" s="275"/>
      <c r="R137" s="275"/>
      <c r="S137" s="275"/>
    </row>
    <row r="138" spans="1:19" ht="17.25" thickBot="1">
      <c r="A138" s="17" t="s">
        <v>186</v>
      </c>
      <c r="B138" s="15">
        <v>26.3</v>
      </c>
      <c r="C138" s="32">
        <v>-2.9520295200000001E-2</v>
      </c>
      <c r="D138" s="15">
        <v>27.2</v>
      </c>
      <c r="E138" s="32">
        <f t="shared" si="70"/>
        <v>3.4220532319391581E-2</v>
      </c>
      <c r="F138" s="18">
        <f>IF(ISNUMBER(D138), $B145 * E138, "")</f>
        <v>10266.159695817474</v>
      </c>
      <c r="G138" s="31">
        <v>27.3</v>
      </c>
      <c r="H138" s="32">
        <f t="shared" si="71"/>
        <v>3.8022813688212927E-2</v>
      </c>
      <c r="I138" s="97">
        <f>IF(ISNUMBER(G138), $B145 * H138, "")</f>
        <v>11406.844106463877</v>
      </c>
      <c r="J138" s="15">
        <v>27.6</v>
      </c>
      <c r="K138" s="32">
        <f t="shared" si="72"/>
        <v>4.9429657794676833E-2</v>
      </c>
      <c r="L138" s="18">
        <f>IF(ISNUMBER(J138), $B145 * K138, "")</f>
        <v>14828.897338403051</v>
      </c>
      <c r="M138" s="31">
        <v>27.8</v>
      </c>
      <c r="N138" s="32">
        <f t="shared" si="73"/>
        <v>5.7034220532319393E-2</v>
      </c>
      <c r="O138" s="18">
        <f>IF(ISNUMBER(M138), $B145 * N138, "")</f>
        <v>17110.266159695817</v>
      </c>
      <c r="Q138" s="270"/>
      <c r="R138" s="270"/>
      <c r="S138" s="270"/>
    </row>
    <row r="139" spans="1:19" ht="17.25" thickBot="1">
      <c r="A139" s="19" t="s">
        <v>172</v>
      </c>
      <c r="B139" s="20">
        <v>28.2</v>
      </c>
      <c r="C139" s="21">
        <v>-3.0927835099999999E-2</v>
      </c>
      <c r="D139" s="20">
        <v>28.1</v>
      </c>
      <c r="E139" s="21">
        <f t="shared" si="70"/>
        <v>-3.5460992907800663E-3</v>
      </c>
      <c r="F139" s="22">
        <f>IF(ISNUMBER(D139), $B145 * E139, "")</f>
        <v>-1063.8297872340199</v>
      </c>
      <c r="G139" s="30">
        <v>27.9</v>
      </c>
      <c r="H139" s="21">
        <f t="shared" si="71"/>
        <v>-1.0638297872340451E-2</v>
      </c>
      <c r="I139" s="101">
        <f>IF(ISNUMBER(G139), $B145 * H139, "")</f>
        <v>-3191.4893617021353</v>
      </c>
      <c r="J139" s="20">
        <v>27.9</v>
      </c>
      <c r="K139" s="21">
        <f t="shared" si="72"/>
        <v>-1.0638297872340451E-2</v>
      </c>
      <c r="L139" s="22">
        <f>IF(ISNUMBER(J139), $B145 * K139, "")</f>
        <v>-3191.4893617021353</v>
      </c>
      <c r="M139" s="30">
        <v>28.5</v>
      </c>
      <c r="N139" s="21">
        <f t="shared" si="73"/>
        <v>1.0638297872340451E-2</v>
      </c>
      <c r="O139" s="22">
        <f>IF(ISNUMBER(M139), $B145 * N139, "")</f>
        <v>3191.4893617021353</v>
      </c>
      <c r="Q139" s="270"/>
      <c r="R139" s="270"/>
      <c r="S139" s="270"/>
    </row>
    <row r="140" spans="1:19" ht="17.25" thickBot="1">
      <c r="A140" s="17" t="s">
        <v>218</v>
      </c>
      <c r="B140" s="102">
        <v>32.1</v>
      </c>
      <c r="C140" s="103">
        <v>-3.3132530100000002E-2</v>
      </c>
      <c r="D140" s="102">
        <v>31.5</v>
      </c>
      <c r="E140" s="103">
        <f>IF(ISNUMBER(D140), (D140 - $B140) / $B140, "")</f>
        <v>-1.8691588785046773E-2</v>
      </c>
      <c r="F140" s="104">
        <f>IF(ISNUMBER(D140), $B145 * E140, "")</f>
        <v>-5607.4766355140318</v>
      </c>
      <c r="G140" s="105">
        <v>31.8</v>
      </c>
      <c r="H140" s="103">
        <f>IF(ISNUMBER(G140), (G140 - $B140) / $B140, "")</f>
        <v>-9.3457943925233863E-3</v>
      </c>
      <c r="I140" s="106">
        <f>IF(ISNUMBER(G140), $B145 * H140, "")</f>
        <v>-2803.7383177570159</v>
      </c>
      <c r="J140" s="102">
        <v>31.8</v>
      </c>
      <c r="K140" s="103">
        <f>IF(ISNUMBER(J140), (J140 - $B140) / $B140, "")</f>
        <v>-9.3457943925233863E-3</v>
      </c>
      <c r="L140" s="104">
        <f>IF(ISNUMBER(J140), $B145 * K140, "")</f>
        <v>-2803.7383177570159</v>
      </c>
      <c r="M140" s="105">
        <v>32.1</v>
      </c>
      <c r="N140" s="103">
        <f>IF(ISNUMBER(M140), (M140 - $B140) / $B140, "")</f>
        <v>0</v>
      </c>
      <c r="O140" s="104">
        <f>IF(ISNUMBER(M140), $B145 * N140, "")</f>
        <v>0</v>
      </c>
      <c r="Q140" s="275"/>
      <c r="R140" s="275"/>
      <c r="S140" s="275"/>
    </row>
    <row r="141" spans="1:19" ht="17.25" thickBot="1">
      <c r="A141" s="17" t="s">
        <v>254</v>
      </c>
      <c r="B141" s="15">
        <v>92.4</v>
      </c>
      <c r="C141" s="32">
        <v>-3.54906054E-2</v>
      </c>
      <c r="D141" s="15">
        <v>93.7</v>
      </c>
      <c r="E141" s="32">
        <f t="shared" ref="E141:E144" si="74">IF(ISNUMBER(D141), (D141 - $B141) / $B141, "")</f>
        <v>1.4069264069264037E-2</v>
      </c>
      <c r="F141" s="18">
        <f>IF(ISNUMBER(D141), $B145 * E141, "")</f>
        <v>4220.7792207792108</v>
      </c>
      <c r="G141" s="31">
        <v>93.9</v>
      </c>
      <c r="H141" s="32">
        <f t="shared" ref="H141:H144" si="75">IF(ISNUMBER(G141), (G141 - $B141) / $B141, "")</f>
        <v>1.6233766233766232E-2</v>
      </c>
      <c r="I141" s="97">
        <f>IF(ISNUMBER(G141), $B145 * H141, "")</f>
        <v>4870.1298701298692</v>
      </c>
      <c r="J141" s="15">
        <v>96</v>
      </c>
      <c r="K141" s="32">
        <f t="shared" ref="K141:K144" si="76">IF(ISNUMBER(J141), (J141 - $B141) / $B141, "")</f>
        <v>3.8961038961038898E-2</v>
      </c>
      <c r="L141" s="18">
        <f>IF(ISNUMBER(J141), $B145 * K141, "")</f>
        <v>11688.311688311669</v>
      </c>
      <c r="M141" s="31">
        <v>96.1</v>
      </c>
      <c r="N141" s="32">
        <f t="shared" ref="N141:N144" si="77">IF(ISNUMBER(M141), (M141 - $B141) / $B141, "")</f>
        <v>4.0043290043289916E-2</v>
      </c>
      <c r="O141" s="18">
        <f>IF(ISNUMBER(M141), $B145 * N141, "")</f>
        <v>12012.987012986974</v>
      </c>
      <c r="Q141" s="275"/>
      <c r="R141" s="275"/>
      <c r="S141" s="275"/>
    </row>
    <row r="142" spans="1:19" ht="17.25" thickBot="1">
      <c r="A142" s="17" t="s">
        <v>65</v>
      </c>
      <c r="B142" s="15">
        <v>77.5</v>
      </c>
      <c r="C142" s="32">
        <v>-4.6740467399999999E-2</v>
      </c>
      <c r="D142" s="15">
        <v>76.7</v>
      </c>
      <c r="E142" s="32">
        <f t="shared" si="74"/>
        <v>-1.0322580645161254E-2</v>
      </c>
      <c r="F142" s="18">
        <f>IF(ISNUMBER(D142), $B145 * E142, "")</f>
        <v>-3096.7741935483764</v>
      </c>
      <c r="G142" s="31">
        <v>76</v>
      </c>
      <c r="H142" s="32">
        <f t="shared" si="75"/>
        <v>-1.935483870967742E-2</v>
      </c>
      <c r="I142" s="97">
        <f>IF(ISNUMBER(G142), $B145 * H142, "")</f>
        <v>-5806.4516129032263</v>
      </c>
      <c r="J142" s="15">
        <v>75.599999999999994</v>
      </c>
      <c r="K142" s="32">
        <f t="shared" si="76"/>
        <v>-2.4516129032258138E-2</v>
      </c>
      <c r="L142" s="18">
        <f>IF(ISNUMBER(J142), $B145 * K142, "")</f>
        <v>-7354.8387096774413</v>
      </c>
      <c r="M142" s="31">
        <v>75.8</v>
      </c>
      <c r="N142" s="32">
        <f t="shared" si="77"/>
        <v>-2.1935483870967779E-2</v>
      </c>
      <c r="O142" s="18">
        <f>IF(ISNUMBER(M142), $B145 * N142, "")</f>
        <v>-6580.6451612903338</v>
      </c>
      <c r="Q142" s="275"/>
      <c r="R142" s="275"/>
      <c r="S142" s="275"/>
    </row>
    <row r="143" spans="1:19">
      <c r="A143" s="17" t="s">
        <v>126</v>
      </c>
      <c r="B143" s="15">
        <v>70.7</v>
      </c>
      <c r="C143" s="32">
        <v>-4.9731182800000003E-2</v>
      </c>
      <c r="D143" s="15">
        <v>68</v>
      </c>
      <c r="E143" s="32">
        <f t="shared" si="74"/>
        <v>-3.8189533239038231E-2</v>
      </c>
      <c r="F143" s="18">
        <f>IF(ISNUMBER(D143), $B145 * E143, "")</f>
        <v>-11456.85997171147</v>
      </c>
      <c r="G143" s="31">
        <v>68</v>
      </c>
      <c r="H143" s="32">
        <f t="shared" si="75"/>
        <v>-3.8189533239038231E-2</v>
      </c>
      <c r="I143" s="97">
        <f>IF(ISNUMBER(G143), $B145 * H143, "")</f>
        <v>-11456.85997171147</v>
      </c>
      <c r="J143" s="15">
        <v>68.5</v>
      </c>
      <c r="K143" s="32">
        <f t="shared" si="76"/>
        <v>-3.1117397454031158E-2</v>
      </c>
      <c r="L143" s="18">
        <f>IF(ISNUMBER(J143), $B145 * K143, "")</f>
        <v>-9335.2192362093465</v>
      </c>
      <c r="M143" s="31">
        <v>68.7</v>
      </c>
      <c r="N143" s="32">
        <f t="shared" si="77"/>
        <v>-2.8288543140028287E-2</v>
      </c>
      <c r="O143" s="18">
        <f>IF(ISNUMBER(M143), $B145 * N143, "")</f>
        <v>-8486.5629420084861</v>
      </c>
      <c r="Q143" s="297"/>
      <c r="R143" s="298"/>
      <c r="S143" s="299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00"/>
      <c r="R144" s="301"/>
      <c r="S144" s="302"/>
    </row>
    <row r="145" spans="1:19" ht="17.25" thickBot="1">
      <c r="A145" s="26" t="s">
        <v>301</v>
      </c>
      <c r="B145" s="306">
        <f>$B$37</f>
        <v>300000</v>
      </c>
      <c r="C145" s="307"/>
      <c r="D145" s="26" t="s">
        <v>302</v>
      </c>
      <c r="E145" s="27">
        <f>IF(COUNT(E125:E144), SUM(E125:E144) / COUNT(E125:E144), 0)</f>
        <v>-1.594483220477585E-3</v>
      </c>
      <c r="F145" s="28">
        <f>SUM(F125:F144)</f>
        <v>-9088.5543567222303</v>
      </c>
      <c r="G145" s="26" t="s">
        <v>302</v>
      </c>
      <c r="H145" s="27">
        <f>IF(COUNT(H125:H144), SUM(H125:H144) / COUNT(H125:H144), 0)</f>
        <v>-1.666929022124089E-3</v>
      </c>
      <c r="I145" s="28">
        <f>SUM(I125:I144)</f>
        <v>-9501.4954261073035</v>
      </c>
      <c r="J145" s="26" t="s">
        <v>302</v>
      </c>
      <c r="K145" s="27">
        <f>IF(COUNT(K125:K144), SUM(K125:K144) / COUNT(K125:K144), 0)</f>
        <v>4.437281425962906E-3</v>
      </c>
      <c r="L145" s="28">
        <f>SUM(L125:L144)</f>
        <v>25292.50412798857</v>
      </c>
      <c r="M145" s="26" t="s">
        <v>302</v>
      </c>
      <c r="N145" s="27">
        <f>IF(COUNT(N125:N144), SUM(N125:N144) / COUNT(N125:N144), 0)</f>
        <v>1.1216465471141364E-2</v>
      </c>
      <c r="O145" s="28">
        <f>SUM(O125:O144)</f>
        <v>63933.853185505781</v>
      </c>
      <c r="Q145" s="303"/>
      <c r="R145" s="304"/>
      <c r="S145" s="305"/>
    </row>
    <row r="147" spans="1:19" ht="17.25" thickBot="1"/>
    <row r="148" spans="1:19" ht="17.25" thickBot="1">
      <c r="A148" s="249" t="s">
        <v>289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1"/>
      <c r="Q148" s="270"/>
      <c r="R148" s="270"/>
      <c r="S148" s="270"/>
    </row>
    <row r="149" spans="1:19" ht="17.25" thickBot="1">
      <c r="A149" s="107" t="s">
        <v>298</v>
      </c>
      <c r="B149" s="249" t="s">
        <v>49</v>
      </c>
      <c r="C149" s="251"/>
      <c r="D149" s="249" t="s">
        <v>58</v>
      </c>
      <c r="E149" s="250"/>
      <c r="F149" s="251"/>
      <c r="G149" s="276">
        <f>_xlfn.IFNA(VLOOKUP(B149, 현재가테이블!$B$2:$D$200, 2, FALSE), "-")</f>
        <v>60874000</v>
      </c>
      <c r="H149" s="277"/>
      <c r="I149" s="278"/>
      <c r="J149" s="249" t="s">
        <v>59</v>
      </c>
      <c r="K149" s="250"/>
      <c r="L149" s="251"/>
      <c r="M149" s="279">
        <f>_xlfn.IFNA(VLOOKUP(B149, 현재가테이블!$B$2:$D$200, 3, FALSE), "-")</f>
        <v>-1.4936000099999999E-2</v>
      </c>
      <c r="N149" s="280"/>
      <c r="O149" s="281"/>
      <c r="Q149" s="270"/>
      <c r="R149" s="270"/>
      <c r="S149" s="270"/>
    </row>
    <row r="150" spans="1:19" ht="17.25" thickBot="1">
      <c r="A150" s="293" t="s">
        <v>55</v>
      </c>
      <c r="B150" s="295" t="str">
        <f>TEXT($G$1, "[$-ko-KR]yyyy-mm-dd(ddd) ") &amp; "오전 00:00"</f>
        <v>2021-05-02(일) 오전 00:00</v>
      </c>
      <c r="C150" s="296"/>
      <c r="D150" s="272" t="str">
        <f>TEXT($G$1, "[$-ko-KR]yyyy-mm-dd(ddd) ") &amp; "오후 14:00"</f>
        <v>2021-05-02(일) 오후 14:00</v>
      </c>
      <c r="E150" s="273"/>
      <c r="F150" s="274"/>
      <c r="G150" s="272" t="str">
        <f>TEXT($G$1, "[$-ko-KR]yyyy-mm-dd(ddd) ") &amp; "오후 19:00"</f>
        <v>2021-05-02(일) 오후 19:00</v>
      </c>
      <c r="H150" s="273"/>
      <c r="I150" s="274"/>
      <c r="J150" s="272" t="str">
        <f>TEXT($G$1, "[$-ko-KR]yyyy-mm-dd(ddd) ") &amp; "오후 21:00"</f>
        <v>2021-05-02(일) 오후 21:00</v>
      </c>
      <c r="K150" s="273"/>
      <c r="L150" s="274"/>
      <c r="M150" s="272" t="str">
        <f>TEXT($G$1+1, "[$-ko-KR]yyyy-mm-dd(ddd) ") &amp; "오전 00:00"</f>
        <v>2021-05-03(월) 오전 00:00</v>
      </c>
      <c r="N150" s="273"/>
      <c r="O150" s="274"/>
      <c r="Q150" s="270"/>
      <c r="R150" s="270"/>
      <c r="S150" s="270"/>
    </row>
    <row r="151" spans="1:19" ht="17.25" thickBot="1">
      <c r="A151" s="294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75"/>
      <c r="R151" s="275"/>
      <c r="S151" s="275"/>
    </row>
    <row r="152" spans="1:19" ht="17.25" thickBot="1">
      <c r="A152" s="12" t="s">
        <v>238</v>
      </c>
      <c r="B152" s="13">
        <v>315</v>
      </c>
      <c r="C152" s="14">
        <v>-1.2539185E-2</v>
      </c>
      <c r="D152" s="13">
        <v>313</v>
      </c>
      <c r="E152" s="14">
        <f>IF(ISNUMBER(D152), (D152 - $B152) / $B152, "")</f>
        <v>-6.3492063492063492E-3</v>
      </c>
      <c r="F152" s="16">
        <f>IF(ISNUMBER(D152), $B172 * E152, "")</f>
        <v>-1904.7619047619048</v>
      </c>
      <c r="G152" s="29">
        <v>310</v>
      </c>
      <c r="H152" s="14">
        <f>IF(ISNUMBER(G152), (G152 - $B152) / $B152, "")</f>
        <v>-1.5873015873015872E-2</v>
      </c>
      <c r="I152" s="96">
        <f>IF(ISNUMBER(G152), $B172 * H152, "")</f>
        <v>-4761.9047619047615</v>
      </c>
      <c r="J152" s="13">
        <v>313</v>
      </c>
      <c r="K152" s="14">
        <f>IF(ISNUMBER(J152), (J152 - $B152) / $B152, "")</f>
        <v>-6.3492063492063492E-3</v>
      </c>
      <c r="L152" s="16">
        <f>IF(ISNUMBER(J152), $B172 * K152, "")</f>
        <v>-1904.7619047619048</v>
      </c>
      <c r="M152" s="29">
        <v>316</v>
      </c>
      <c r="N152" s="14">
        <f>IF(ISNUMBER(M152), (M152 - $B152) / $B152, "")</f>
        <v>3.1746031746031746E-3</v>
      </c>
      <c r="O152" s="16">
        <f>IF(ISNUMBER(M152), $B172 * N152, "")</f>
        <v>952.38095238095241</v>
      </c>
      <c r="Q152" s="270"/>
      <c r="R152" s="270"/>
      <c r="S152" s="270"/>
    </row>
    <row r="153" spans="1:19" ht="17.25" thickBot="1">
      <c r="A153" s="17" t="s">
        <v>202</v>
      </c>
      <c r="B153" s="15">
        <v>219</v>
      </c>
      <c r="C153" s="32">
        <v>-1.3513513499999999E-2</v>
      </c>
      <c r="D153" s="15">
        <v>230</v>
      </c>
      <c r="E153" s="32">
        <f t="shared" ref="E153:E156" si="78">IF(ISNUMBER(D153), (D153 - $B153) / $B153, "")</f>
        <v>5.0228310502283102E-2</v>
      </c>
      <c r="F153" s="18">
        <f>IF(ISNUMBER(D153), $B172 * E153, "")</f>
        <v>15068.49315068493</v>
      </c>
      <c r="G153" s="31">
        <v>231</v>
      </c>
      <c r="H153" s="32">
        <f t="shared" ref="H153:H156" si="79">IF(ISNUMBER(G153), (G153 - $B153) / $B153, "")</f>
        <v>5.4794520547945202E-2</v>
      </c>
      <c r="I153" s="97">
        <f>IF(ISNUMBER(G153), $B172 * H153, "")</f>
        <v>16438.35616438356</v>
      </c>
      <c r="J153" s="15">
        <v>237</v>
      </c>
      <c r="K153" s="32">
        <f t="shared" ref="K153:K156" si="80">IF(ISNUMBER(J153), (J153 - $B153) / $B153, "")</f>
        <v>8.2191780821917804E-2</v>
      </c>
      <c r="L153" s="18">
        <f>IF(ISNUMBER(J153), $B172 * K153, "")</f>
        <v>24657.534246575342</v>
      </c>
      <c r="M153" s="31">
        <v>252</v>
      </c>
      <c r="N153" s="32">
        <f t="shared" ref="N153:N156" si="81">IF(ISNUMBER(M153), (M153 - $B153) / $B153, "")</f>
        <v>0.15068493150684931</v>
      </c>
      <c r="O153" s="18">
        <f>IF(ISNUMBER(M153), $B172 * N153, "")</f>
        <v>45205.479452054795</v>
      </c>
      <c r="Q153" s="270"/>
      <c r="R153" s="270"/>
      <c r="S153" s="270"/>
    </row>
    <row r="154" spans="1:19" ht="17.25" thickBot="1">
      <c r="A154" s="17" t="s">
        <v>200</v>
      </c>
      <c r="B154" s="15">
        <v>409</v>
      </c>
      <c r="C154" s="32">
        <v>-1.44578313E-2</v>
      </c>
      <c r="D154" s="15">
        <v>401</v>
      </c>
      <c r="E154" s="32">
        <f t="shared" si="78"/>
        <v>-1.9559902200488997E-2</v>
      </c>
      <c r="F154" s="18">
        <f>IF(ISNUMBER(D154), $B172 * E154, "")</f>
        <v>-5867.9706601466996</v>
      </c>
      <c r="G154" s="31">
        <v>403</v>
      </c>
      <c r="H154" s="32">
        <f t="shared" si="79"/>
        <v>-1.4669926650366748E-2</v>
      </c>
      <c r="I154" s="97">
        <f>IF(ISNUMBER(G154), $B172 * H154, "")</f>
        <v>-4400.9779951100245</v>
      </c>
      <c r="J154" s="15">
        <v>404</v>
      </c>
      <c r="K154" s="32">
        <f t="shared" si="80"/>
        <v>-1.2224938875305624E-2</v>
      </c>
      <c r="L154" s="18">
        <f>IF(ISNUMBER(J154), $B172 * K154, "")</f>
        <v>-3667.4816625916874</v>
      </c>
      <c r="M154" s="31">
        <v>407</v>
      </c>
      <c r="N154" s="32">
        <f t="shared" si="81"/>
        <v>-4.8899755501222494E-3</v>
      </c>
      <c r="O154" s="18">
        <f>IF(ISNUMBER(M154), $B172 * N154, "")</f>
        <v>-1466.9926650366749</v>
      </c>
      <c r="Q154" s="275"/>
      <c r="R154" s="275"/>
      <c r="S154" s="275"/>
    </row>
    <row r="155" spans="1:19" ht="17.25" thickBot="1">
      <c r="A155" s="17" t="s">
        <v>270</v>
      </c>
      <c r="B155" s="15">
        <v>544</v>
      </c>
      <c r="C155" s="32">
        <v>-1.44927536E-2</v>
      </c>
      <c r="D155" s="15">
        <v>540</v>
      </c>
      <c r="E155" s="32">
        <f t="shared" si="78"/>
        <v>-7.3529411764705881E-3</v>
      </c>
      <c r="F155" s="18">
        <f>IF(ISNUMBER(D155), $B172 * E155, "")</f>
        <v>-2205.8823529411766</v>
      </c>
      <c r="G155" s="31">
        <v>542</v>
      </c>
      <c r="H155" s="32">
        <f t="shared" si="79"/>
        <v>-3.6764705882352941E-3</v>
      </c>
      <c r="I155" s="97">
        <f>IF(ISNUMBER(G155), $B172 * H155, "")</f>
        <v>-1102.9411764705883</v>
      </c>
      <c r="J155" s="15">
        <v>542</v>
      </c>
      <c r="K155" s="32">
        <f t="shared" si="80"/>
        <v>-3.6764705882352941E-3</v>
      </c>
      <c r="L155" s="18">
        <f>IF(ISNUMBER(J155), $B172 * K155, "")</f>
        <v>-1102.9411764705883</v>
      </c>
      <c r="M155" s="31">
        <v>548</v>
      </c>
      <c r="N155" s="32">
        <f t="shared" si="81"/>
        <v>7.3529411764705881E-3</v>
      </c>
      <c r="O155" s="18">
        <f>IF(ISNUMBER(M155), $B172 * N155, "")</f>
        <v>2205.8823529411766</v>
      </c>
      <c r="Q155" s="275"/>
      <c r="R155" s="275"/>
      <c r="S155" s="275"/>
    </row>
    <row r="156" spans="1:19" ht="17.25" thickBot="1">
      <c r="A156" s="19" t="s">
        <v>208</v>
      </c>
      <c r="B156" s="20">
        <v>525</v>
      </c>
      <c r="C156" s="21">
        <v>-1.5009380900000001E-2</v>
      </c>
      <c r="D156" s="20">
        <v>534</v>
      </c>
      <c r="E156" s="21">
        <f t="shared" si="78"/>
        <v>1.7142857142857144E-2</v>
      </c>
      <c r="F156" s="22">
        <f>IF(ISNUMBER(D156), $B172 * E156, "")</f>
        <v>5142.8571428571431</v>
      </c>
      <c r="G156" s="30">
        <v>529</v>
      </c>
      <c r="H156" s="21">
        <f t="shared" si="79"/>
        <v>7.619047619047619E-3</v>
      </c>
      <c r="I156" s="101">
        <f>IF(ISNUMBER(G156), $B172 * H156, "")</f>
        <v>2285.7142857142858</v>
      </c>
      <c r="J156" s="20">
        <v>538</v>
      </c>
      <c r="K156" s="21">
        <f t="shared" si="80"/>
        <v>2.4761904761904763E-2</v>
      </c>
      <c r="L156" s="22">
        <f>IF(ISNUMBER(J156), $B172 * K156, "")</f>
        <v>7428.5714285714284</v>
      </c>
      <c r="M156" s="30">
        <v>540</v>
      </c>
      <c r="N156" s="21">
        <f t="shared" si="81"/>
        <v>2.8571428571428571E-2</v>
      </c>
      <c r="O156" s="22">
        <f>IF(ISNUMBER(M156), $B172 * N156, "")</f>
        <v>8571.4285714285706</v>
      </c>
      <c r="Q156" s="275"/>
      <c r="R156" s="275"/>
      <c r="S156" s="275"/>
    </row>
    <row r="157" spans="1:19" ht="17.25" thickBot="1">
      <c r="A157" s="17" t="s">
        <v>282</v>
      </c>
      <c r="B157" s="102">
        <v>184</v>
      </c>
      <c r="C157" s="103">
        <v>-1.6042780699999998E-2</v>
      </c>
      <c r="D157" s="102">
        <v>178</v>
      </c>
      <c r="E157" s="103">
        <f>IF(ISNUMBER(D157), (D157 - $B157) / $B157, "")</f>
        <v>-3.2608695652173912E-2</v>
      </c>
      <c r="F157" s="104">
        <f>IF(ISNUMBER(D157), $B172 * E157, "")</f>
        <v>-9782.608695652174</v>
      </c>
      <c r="G157" s="105">
        <v>178</v>
      </c>
      <c r="H157" s="103">
        <f>IF(ISNUMBER(G157), (G157 - $B157) / $B157, "")</f>
        <v>-3.2608695652173912E-2</v>
      </c>
      <c r="I157" s="106">
        <f>IF(ISNUMBER(G157), $B172 * H157, "")</f>
        <v>-9782.608695652174</v>
      </c>
      <c r="J157" s="102">
        <v>179</v>
      </c>
      <c r="K157" s="103">
        <f>IF(ISNUMBER(J157), (J157 - $B157) / $B157, "")</f>
        <v>-2.717391304347826E-2</v>
      </c>
      <c r="L157" s="104">
        <f>IF(ISNUMBER(J157), $B172 * K157, "")</f>
        <v>-8152.173913043478</v>
      </c>
      <c r="M157" s="105">
        <v>181</v>
      </c>
      <c r="N157" s="103">
        <f>IF(ISNUMBER(M157), (M157 - $B157) / $B157, "")</f>
        <v>-1.6304347826086956E-2</v>
      </c>
      <c r="O157" s="104">
        <f>IF(ISNUMBER(M157), $B172 * N157, "")</f>
        <v>-4891.304347826087</v>
      </c>
      <c r="Q157" s="275"/>
      <c r="R157" s="275"/>
      <c r="S157" s="275"/>
    </row>
    <row r="158" spans="1:19" ht="17.25" thickBot="1">
      <c r="A158" s="17" t="s">
        <v>112</v>
      </c>
      <c r="B158" s="15">
        <v>276</v>
      </c>
      <c r="C158" s="32">
        <v>-1.77935943E-2</v>
      </c>
      <c r="D158" s="15">
        <v>279</v>
      </c>
      <c r="E158" s="32">
        <f t="shared" ref="E158:E161" si="82">IF(ISNUMBER(D158), (D158 - $B158) / $B158, "")</f>
        <v>1.0869565217391304E-2</v>
      </c>
      <c r="F158" s="18">
        <f>IF(ISNUMBER(D158), $B172 * E158, "")</f>
        <v>3260.869565217391</v>
      </c>
      <c r="G158" s="31">
        <v>279</v>
      </c>
      <c r="H158" s="32">
        <f t="shared" ref="H158:H161" si="83">IF(ISNUMBER(G158), (G158 - $B158) / $B158, "")</f>
        <v>1.0869565217391304E-2</v>
      </c>
      <c r="I158" s="97">
        <f>IF(ISNUMBER(G158), $B172 * H158, "")</f>
        <v>3260.869565217391</v>
      </c>
      <c r="J158" s="15">
        <v>284</v>
      </c>
      <c r="K158" s="32">
        <f t="shared" ref="K158:K161" si="84">IF(ISNUMBER(J158), (J158 - $B158) / $B158, "")</f>
        <v>2.8985507246376812E-2</v>
      </c>
      <c r="L158" s="18">
        <f>IF(ISNUMBER(J158), $B172 * K158, "")</f>
        <v>8695.652173913044</v>
      </c>
      <c r="M158" s="31">
        <v>283</v>
      </c>
      <c r="N158" s="32">
        <f t="shared" ref="N158:N161" si="85">IF(ISNUMBER(M158), (M158 - $B158) / $B158, "")</f>
        <v>2.5362318840579712E-2</v>
      </c>
      <c r="O158" s="18">
        <f>IF(ISNUMBER(M158), $B172 * N158, "")</f>
        <v>7608.6956521739139</v>
      </c>
      <c r="Q158" s="275"/>
      <c r="R158" s="275"/>
      <c r="S158" s="275"/>
    </row>
    <row r="159" spans="1:19" ht="17.25" thickBot="1">
      <c r="A159" s="17" t="s">
        <v>134</v>
      </c>
      <c r="B159" s="15">
        <v>158</v>
      </c>
      <c r="C159" s="32">
        <v>-1.8633540399999999E-2</v>
      </c>
      <c r="D159" s="15">
        <v>157</v>
      </c>
      <c r="E159" s="32">
        <f t="shared" si="82"/>
        <v>-6.3291139240506328E-3</v>
      </c>
      <c r="F159" s="18">
        <f>IF(ISNUMBER(D159), $B172 * E159, "")</f>
        <v>-1898.7341772151899</v>
      </c>
      <c r="G159" s="31">
        <v>156</v>
      </c>
      <c r="H159" s="32">
        <f t="shared" si="83"/>
        <v>-1.2658227848101266E-2</v>
      </c>
      <c r="I159" s="97">
        <f>IF(ISNUMBER(G159), $B172 * H159, "")</f>
        <v>-3797.4683544303798</v>
      </c>
      <c r="J159" s="15">
        <v>157</v>
      </c>
      <c r="K159" s="32">
        <f t="shared" si="84"/>
        <v>-6.3291139240506328E-3</v>
      </c>
      <c r="L159" s="18">
        <f>IF(ISNUMBER(J159), $B172 * K159, "")</f>
        <v>-1898.7341772151899</v>
      </c>
      <c r="M159" s="31">
        <v>158</v>
      </c>
      <c r="N159" s="32">
        <f t="shared" si="85"/>
        <v>0</v>
      </c>
      <c r="O159" s="18">
        <f>IF(ISNUMBER(M159), $B172 * N159, "")</f>
        <v>0</v>
      </c>
      <c r="Q159" s="275"/>
      <c r="R159" s="275"/>
      <c r="S159" s="275"/>
    </row>
    <row r="160" spans="1:19" ht="17.25" thickBot="1">
      <c r="A160" s="17" t="s">
        <v>260</v>
      </c>
      <c r="B160" s="15">
        <v>135</v>
      </c>
      <c r="C160" s="32">
        <v>-2.1739130400000001E-2</v>
      </c>
      <c r="D160" s="15">
        <v>136</v>
      </c>
      <c r="E160" s="32">
        <f t="shared" si="82"/>
        <v>7.4074074074074077E-3</v>
      </c>
      <c r="F160" s="18">
        <f>IF(ISNUMBER(D160), $B172 * E160, "")</f>
        <v>2222.2222222222222</v>
      </c>
      <c r="G160" s="31">
        <v>136</v>
      </c>
      <c r="H160" s="32">
        <f t="shared" si="83"/>
        <v>7.4074074074074077E-3</v>
      </c>
      <c r="I160" s="97">
        <f>IF(ISNUMBER(G160), $B172 * H160, "")</f>
        <v>2222.2222222222222</v>
      </c>
      <c r="J160" s="15">
        <v>135</v>
      </c>
      <c r="K160" s="32">
        <f t="shared" si="84"/>
        <v>0</v>
      </c>
      <c r="L160" s="18">
        <f>IF(ISNUMBER(J160), $B172 * K160, "")</f>
        <v>0</v>
      </c>
      <c r="M160" s="31">
        <v>136</v>
      </c>
      <c r="N160" s="32">
        <f t="shared" si="85"/>
        <v>7.4074074074074077E-3</v>
      </c>
      <c r="O160" s="18">
        <f>IF(ISNUMBER(M160), $B172 * N160, "")</f>
        <v>2222.2222222222222</v>
      </c>
      <c r="Q160" s="33"/>
      <c r="R160" s="33"/>
    </row>
    <row r="161" spans="1:19" ht="17.25" thickBot="1">
      <c r="A161" s="23" t="s">
        <v>116</v>
      </c>
      <c r="B161" s="24">
        <v>715</v>
      </c>
      <c r="C161" s="25">
        <v>-2.1887824899999998E-2</v>
      </c>
      <c r="D161" s="24">
        <v>696</v>
      </c>
      <c r="E161" s="25">
        <f t="shared" si="82"/>
        <v>-2.6573426573426574E-2</v>
      </c>
      <c r="F161" s="100">
        <f>IF(ISNUMBER(D161), $B172 * E161, "")</f>
        <v>-7972.0279720279723</v>
      </c>
      <c r="G161" s="98">
        <v>696</v>
      </c>
      <c r="H161" s="25">
        <f t="shared" si="83"/>
        <v>-2.6573426573426574E-2</v>
      </c>
      <c r="I161" s="99">
        <f>IF(ISNUMBER(G161), $B172 * H161, "")</f>
        <v>-7972.0279720279723</v>
      </c>
      <c r="J161" s="24">
        <v>702</v>
      </c>
      <c r="K161" s="25">
        <f t="shared" si="84"/>
        <v>-1.8181818181818181E-2</v>
      </c>
      <c r="L161" s="100">
        <f>IF(ISNUMBER(J161), $B172 * K161, "")</f>
        <v>-5454.545454545454</v>
      </c>
      <c r="M161" s="98">
        <v>706</v>
      </c>
      <c r="N161" s="25">
        <f t="shared" si="85"/>
        <v>-1.2587412587412588E-2</v>
      </c>
      <c r="O161" s="100">
        <f>IF(ISNUMBER(M161), $B172 * N161, "")</f>
        <v>-3776.2237762237764</v>
      </c>
      <c r="Q161" s="284"/>
      <c r="R161" s="285"/>
      <c r="S161" s="286"/>
    </row>
    <row r="162" spans="1:19">
      <c r="A162" s="12" t="s">
        <v>246</v>
      </c>
      <c r="B162" s="13">
        <v>444</v>
      </c>
      <c r="C162" s="14">
        <v>-2.2026431700000002E-2</v>
      </c>
      <c r="D162" s="13">
        <v>435</v>
      </c>
      <c r="E162" s="14">
        <f>IF(ISNUMBER(D162), (D162 - $B162) / $B162, "")</f>
        <v>-2.0270270270270271E-2</v>
      </c>
      <c r="F162" s="16">
        <f>IF(ISNUMBER(D162), $B172 * E162, "")</f>
        <v>-6081.0810810810817</v>
      </c>
      <c r="G162" s="29">
        <v>436</v>
      </c>
      <c r="H162" s="14">
        <f>IF(ISNUMBER(G162), (G162 - $B162) / $B162, "")</f>
        <v>-1.8018018018018018E-2</v>
      </c>
      <c r="I162" s="96">
        <f>IF(ISNUMBER(G162), $B172 * H162, "")</f>
        <v>-5405.405405405405</v>
      </c>
      <c r="J162" s="13">
        <v>437</v>
      </c>
      <c r="K162" s="14">
        <f>IF(ISNUMBER(J162), (J162 - $B162) / $B162, "")</f>
        <v>-1.5765765765765764E-2</v>
      </c>
      <c r="L162" s="16">
        <f>IF(ISNUMBER(J162), $B172 * K162, "")</f>
        <v>-4729.7297297297291</v>
      </c>
      <c r="M162" s="29">
        <v>439</v>
      </c>
      <c r="N162" s="14">
        <f>IF(ISNUMBER(M162), (M162 - $B162) / $B162, "")</f>
        <v>-1.1261261261261261E-2</v>
      </c>
      <c r="O162" s="16">
        <f>IF(ISNUMBER(M162), $B172 * N162, "")</f>
        <v>-3378.3783783783783</v>
      </c>
      <c r="Q162" s="287"/>
      <c r="R162" s="288"/>
      <c r="S162" s="289"/>
    </row>
    <row r="163" spans="1:19" ht="17.25" thickBot="1">
      <c r="A163" s="17" t="s">
        <v>170</v>
      </c>
      <c r="B163" s="15">
        <v>530</v>
      </c>
      <c r="C163" s="32">
        <v>-2.21402214E-2</v>
      </c>
      <c r="D163" s="15">
        <v>528</v>
      </c>
      <c r="E163" s="32">
        <f t="shared" ref="E163:E166" si="86">IF(ISNUMBER(D163), (D163 - $B163) / $B163, "")</f>
        <v>-3.7735849056603774E-3</v>
      </c>
      <c r="F163" s="18">
        <f>IF(ISNUMBER(D163), $B172 * E163, "")</f>
        <v>-1132.0754716981132</v>
      </c>
      <c r="G163" s="31">
        <v>533</v>
      </c>
      <c r="H163" s="32">
        <f t="shared" ref="H163:H166" si="87">IF(ISNUMBER(G163), (G163 - $B163) / $B163, "")</f>
        <v>5.6603773584905656E-3</v>
      </c>
      <c r="I163" s="97">
        <f>IF(ISNUMBER(G163), $B172 * H163, "")</f>
        <v>1698.1132075471696</v>
      </c>
      <c r="J163" s="15">
        <v>534</v>
      </c>
      <c r="K163" s="32">
        <f t="shared" ref="K163:K166" si="88">IF(ISNUMBER(J163), (J163 - $B163) / $B163, "")</f>
        <v>7.5471698113207548E-3</v>
      </c>
      <c r="L163" s="18">
        <f>IF(ISNUMBER(J163), $B172 * K163, "")</f>
        <v>2264.1509433962265</v>
      </c>
      <c r="M163" s="31">
        <v>541</v>
      </c>
      <c r="N163" s="32">
        <f t="shared" ref="N163:N166" si="89">IF(ISNUMBER(M163), (M163 - $B163) / $B163, "")</f>
        <v>2.0754716981132074E-2</v>
      </c>
      <c r="O163" s="18">
        <f>IF(ISNUMBER(M163), $B172 * N163, "")</f>
        <v>6226.4150943396226</v>
      </c>
      <c r="Q163" s="290"/>
      <c r="R163" s="291"/>
      <c r="S163" s="292"/>
    </row>
    <row r="164" spans="1:19" ht="17.25" thickBot="1">
      <c r="A164" s="17" t="s">
        <v>174</v>
      </c>
      <c r="B164" s="15">
        <v>305</v>
      </c>
      <c r="C164" s="32">
        <v>-2.2435897400000002E-2</v>
      </c>
      <c r="D164" s="15">
        <v>302</v>
      </c>
      <c r="E164" s="32">
        <f t="shared" si="86"/>
        <v>-9.8360655737704927E-3</v>
      </c>
      <c r="F164" s="18">
        <f>IF(ISNUMBER(D164), $B172 * E164, "")</f>
        <v>-2950.8196721311479</v>
      </c>
      <c r="G164" s="31">
        <v>301</v>
      </c>
      <c r="H164" s="32">
        <f t="shared" si="87"/>
        <v>-1.3114754098360656E-2</v>
      </c>
      <c r="I164" s="97">
        <f>IF(ISNUMBER(G164), $B172 * H164, "")</f>
        <v>-3934.4262295081967</v>
      </c>
      <c r="J164" s="15">
        <v>301</v>
      </c>
      <c r="K164" s="32">
        <f t="shared" si="88"/>
        <v>-1.3114754098360656E-2</v>
      </c>
      <c r="L164" s="18">
        <f>IF(ISNUMBER(J164), $B172 * K164, "")</f>
        <v>-3934.4262295081967</v>
      </c>
      <c r="M164" s="31">
        <v>303</v>
      </c>
      <c r="N164" s="32">
        <f t="shared" si="89"/>
        <v>-6.5573770491803279E-3</v>
      </c>
      <c r="O164" s="18">
        <f>IF(ISNUMBER(M164), $B172 * N164, "")</f>
        <v>-1967.2131147540983</v>
      </c>
      <c r="Q164" s="275"/>
      <c r="R164" s="275"/>
      <c r="S164" s="275"/>
    </row>
    <row r="165" spans="1:19" ht="17.25" thickBot="1">
      <c r="A165" s="17" t="s">
        <v>258</v>
      </c>
      <c r="B165" s="15">
        <v>751</v>
      </c>
      <c r="C165" s="32">
        <v>-2.4675324700000001E-2</v>
      </c>
      <c r="D165" s="15">
        <v>745</v>
      </c>
      <c r="E165" s="32">
        <f t="shared" si="86"/>
        <v>-7.989347536617843E-3</v>
      </c>
      <c r="F165" s="18">
        <f>IF(ISNUMBER(D165), $B172 * E165, "")</f>
        <v>-2396.8042609853528</v>
      </c>
      <c r="G165" s="31">
        <v>745</v>
      </c>
      <c r="H165" s="32">
        <f t="shared" si="87"/>
        <v>-7.989347536617843E-3</v>
      </c>
      <c r="I165" s="97">
        <f>IF(ISNUMBER(G165), $B172 * H165, "")</f>
        <v>-2396.8042609853528</v>
      </c>
      <c r="J165" s="15">
        <v>752</v>
      </c>
      <c r="K165" s="32">
        <f t="shared" si="88"/>
        <v>1.3315579227696406E-3</v>
      </c>
      <c r="L165" s="18">
        <f>IF(ISNUMBER(J165), $B172 * K165, "")</f>
        <v>399.46737683089219</v>
      </c>
      <c r="M165" s="31">
        <v>752</v>
      </c>
      <c r="N165" s="32">
        <f t="shared" si="89"/>
        <v>1.3315579227696406E-3</v>
      </c>
      <c r="O165" s="18">
        <f>IF(ISNUMBER(M165), $B172 * N165, "")</f>
        <v>399.46737683089219</v>
      </c>
      <c r="Q165" s="270"/>
      <c r="R165" s="270"/>
      <c r="S165" s="270"/>
    </row>
    <row r="166" spans="1:19" ht="17.25" thickBot="1">
      <c r="A166" s="19" t="s">
        <v>156</v>
      </c>
      <c r="B166" s="20">
        <v>153</v>
      </c>
      <c r="C166" s="21">
        <v>-2.5477706999999999E-2</v>
      </c>
      <c r="D166" s="20">
        <v>153</v>
      </c>
      <c r="E166" s="21">
        <f t="shared" si="86"/>
        <v>0</v>
      </c>
      <c r="F166" s="22">
        <f>IF(ISNUMBER(D166), $B172 * E166, "")</f>
        <v>0</v>
      </c>
      <c r="G166" s="30">
        <v>154</v>
      </c>
      <c r="H166" s="21">
        <f t="shared" si="87"/>
        <v>6.5359477124183009E-3</v>
      </c>
      <c r="I166" s="101">
        <f>IF(ISNUMBER(G166), $B172 * H166, "")</f>
        <v>1960.7843137254902</v>
      </c>
      <c r="J166" s="20">
        <v>154</v>
      </c>
      <c r="K166" s="21">
        <f t="shared" si="88"/>
        <v>6.5359477124183009E-3</v>
      </c>
      <c r="L166" s="22">
        <f>IF(ISNUMBER(J166), $B172 * K166, "")</f>
        <v>1960.7843137254902</v>
      </c>
      <c r="M166" s="30">
        <v>155</v>
      </c>
      <c r="N166" s="21">
        <f t="shared" si="89"/>
        <v>1.3071895424836602E-2</v>
      </c>
      <c r="O166" s="22">
        <f>IF(ISNUMBER(M166), $B172 * N166, "")</f>
        <v>3921.5686274509803</v>
      </c>
      <c r="Q166" s="270"/>
      <c r="R166" s="270"/>
      <c r="S166" s="270"/>
    </row>
    <row r="167" spans="1:19" ht="17.25" thickBot="1">
      <c r="A167" s="17" t="s">
        <v>264</v>
      </c>
      <c r="B167" s="102">
        <v>183</v>
      </c>
      <c r="C167" s="103">
        <v>-2.65957447E-2</v>
      </c>
      <c r="D167" s="102">
        <v>181</v>
      </c>
      <c r="E167" s="103">
        <f>IF(ISNUMBER(D167), (D167 - $B167) / $B167, "")</f>
        <v>-1.092896174863388E-2</v>
      </c>
      <c r="F167" s="104">
        <f>IF(ISNUMBER(D167), $B172 * E167, "")</f>
        <v>-3278.688524590164</v>
      </c>
      <c r="G167" s="105">
        <v>182</v>
      </c>
      <c r="H167" s="103">
        <f>IF(ISNUMBER(G167), (G167 - $B167) / $B167, "")</f>
        <v>-5.4644808743169399E-3</v>
      </c>
      <c r="I167" s="106">
        <f>IF(ISNUMBER(G167), $B172 * H167, "")</f>
        <v>-1639.344262295082</v>
      </c>
      <c r="J167" s="102">
        <v>182</v>
      </c>
      <c r="K167" s="103">
        <f>IF(ISNUMBER(J167), (J167 - $B167) / $B167, "")</f>
        <v>-5.4644808743169399E-3</v>
      </c>
      <c r="L167" s="104">
        <f>IF(ISNUMBER(J167), $B172 * K167, "")</f>
        <v>-1639.344262295082</v>
      </c>
      <c r="M167" s="105">
        <v>184</v>
      </c>
      <c r="N167" s="103">
        <f>IF(ISNUMBER(M167), (M167 - $B167) / $B167, "")</f>
        <v>5.4644808743169399E-3</v>
      </c>
      <c r="O167" s="104">
        <f>IF(ISNUMBER(M167), $B172 * N167, "")</f>
        <v>1639.344262295082</v>
      </c>
      <c r="Q167" s="275"/>
      <c r="R167" s="275"/>
      <c r="S167" s="275"/>
    </row>
    <row r="168" spans="1:19" ht="17.25" thickBot="1">
      <c r="A168" s="17" t="s">
        <v>210</v>
      </c>
      <c r="B168" s="15">
        <v>214</v>
      </c>
      <c r="C168" s="32">
        <v>-2.7272727300000001E-2</v>
      </c>
      <c r="D168" s="15">
        <v>213</v>
      </c>
      <c r="E168" s="32">
        <f t="shared" ref="E168:E171" si="90">IF(ISNUMBER(D168), (D168 - $B168) / $B168, "")</f>
        <v>-4.6728971962616819E-3</v>
      </c>
      <c r="F168" s="18">
        <f>IF(ISNUMBER(D168), $B172 * E168, "")</f>
        <v>-1401.8691588785045</v>
      </c>
      <c r="G168" s="31">
        <v>214</v>
      </c>
      <c r="H168" s="32">
        <f t="shared" ref="H168:H171" si="91">IF(ISNUMBER(G168), (G168 - $B168) / $B168, "")</f>
        <v>0</v>
      </c>
      <c r="I168" s="97">
        <f>IF(ISNUMBER(G168), $B172 * H168, "")</f>
        <v>0</v>
      </c>
      <c r="J168" s="15">
        <v>216</v>
      </c>
      <c r="K168" s="32">
        <f t="shared" ref="K168:K171" si="92">IF(ISNUMBER(J168), (J168 - $B168) / $B168, "")</f>
        <v>9.3457943925233638E-3</v>
      </c>
      <c r="L168" s="18">
        <f>IF(ISNUMBER(J168), $B172 * K168, "")</f>
        <v>2803.7383177570091</v>
      </c>
      <c r="M168" s="31">
        <v>219</v>
      </c>
      <c r="N168" s="32">
        <f t="shared" ref="N168:N171" si="93">IF(ISNUMBER(M168), (M168 - $B168) / $B168, "")</f>
        <v>2.336448598130841E-2</v>
      </c>
      <c r="O168" s="18">
        <f>IF(ISNUMBER(M168), $B172 * N168, "")</f>
        <v>7009.3457943925232</v>
      </c>
      <c r="Q168" s="275"/>
      <c r="R168" s="275"/>
      <c r="S168" s="275"/>
    </row>
    <row r="169" spans="1:19" ht="17.25" thickBot="1">
      <c r="A169" s="17" t="s">
        <v>88</v>
      </c>
      <c r="B169" s="15">
        <v>653</v>
      </c>
      <c r="C169" s="32">
        <v>-2.82738095E-2</v>
      </c>
      <c r="D169" s="15">
        <v>635</v>
      </c>
      <c r="E169" s="32">
        <f t="shared" si="90"/>
        <v>-2.7565084226646247E-2</v>
      </c>
      <c r="F169" s="18">
        <f>IF(ISNUMBER(D169), $B172 * E169, "")</f>
        <v>-8269.5252679938749</v>
      </c>
      <c r="G169" s="31">
        <v>636</v>
      </c>
      <c r="H169" s="32">
        <f t="shared" si="91"/>
        <v>-2.6033690658499236E-2</v>
      </c>
      <c r="I169" s="97">
        <f>IF(ISNUMBER(G169), $B172 * H169, "")</f>
        <v>-7810.1071975497707</v>
      </c>
      <c r="J169" s="15">
        <v>639</v>
      </c>
      <c r="K169" s="32">
        <f t="shared" si="92"/>
        <v>-2.1439509954058193E-2</v>
      </c>
      <c r="L169" s="18">
        <f>IF(ISNUMBER(J169), $B172 * K169, "")</f>
        <v>-6431.8529862174573</v>
      </c>
      <c r="M169" s="31">
        <v>649</v>
      </c>
      <c r="N169" s="32">
        <f t="shared" si="93"/>
        <v>-6.1255742725880554E-3</v>
      </c>
      <c r="O169" s="18">
        <f>IF(ISNUMBER(M169), $B172 * N169, "")</f>
        <v>-1837.6722817764166</v>
      </c>
      <c r="Q169" s="275"/>
      <c r="R169" s="275"/>
      <c r="S169" s="275"/>
    </row>
    <row r="170" spans="1:19">
      <c r="A170" s="17" t="s">
        <v>252</v>
      </c>
      <c r="B170" s="15">
        <v>589</v>
      </c>
      <c r="C170" s="32">
        <v>-2.9654036200000001E-2</v>
      </c>
      <c r="D170" s="15">
        <v>581</v>
      </c>
      <c r="E170" s="32">
        <f t="shared" si="90"/>
        <v>-1.3582342954159592E-2</v>
      </c>
      <c r="F170" s="18">
        <f>IF(ISNUMBER(D170), $B172 * E170, "")</f>
        <v>-4074.7028862478778</v>
      </c>
      <c r="G170" s="31">
        <v>582</v>
      </c>
      <c r="H170" s="32">
        <f t="shared" si="91"/>
        <v>-1.1884550084889643E-2</v>
      </c>
      <c r="I170" s="97">
        <f>IF(ISNUMBER(G170), $B172 * H170, "")</f>
        <v>-3565.3650254668928</v>
      </c>
      <c r="J170" s="15">
        <v>586</v>
      </c>
      <c r="K170" s="32">
        <f t="shared" si="92"/>
        <v>-5.0933786078098476E-3</v>
      </c>
      <c r="L170" s="18">
        <f>IF(ISNUMBER(J170), $B172 * K170, "")</f>
        <v>-1528.0135823429544</v>
      </c>
      <c r="M170" s="31">
        <v>587</v>
      </c>
      <c r="N170" s="32">
        <f t="shared" si="93"/>
        <v>-3.3955857385398981E-3</v>
      </c>
      <c r="O170" s="18">
        <f>IF(ISNUMBER(M170), $B172 * N170, "")</f>
        <v>-1018.6757215619695</v>
      </c>
      <c r="Q170" s="297"/>
      <c r="R170" s="298"/>
      <c r="S170" s="299"/>
    </row>
    <row r="171" spans="1:19" ht="17.25" thickBot="1">
      <c r="A171" s="23" t="s">
        <v>284</v>
      </c>
      <c r="B171" s="24">
        <v>470</v>
      </c>
      <c r="C171" s="25">
        <v>-3.2921810699999998E-2</v>
      </c>
      <c r="D171" s="24">
        <v>462</v>
      </c>
      <c r="E171" s="25">
        <f t="shared" si="90"/>
        <v>-1.7021276595744681E-2</v>
      </c>
      <c r="F171" s="100">
        <f>IF(ISNUMBER(D171), $B172 * E171, "")</f>
        <v>-5106.3829787234044</v>
      </c>
      <c r="G171" s="98">
        <v>462</v>
      </c>
      <c r="H171" s="25">
        <f t="shared" si="91"/>
        <v>-1.7021276595744681E-2</v>
      </c>
      <c r="I171" s="99">
        <f>IF(ISNUMBER(G171), $B172 * H171, "")</f>
        <v>-5106.3829787234044</v>
      </c>
      <c r="J171" s="24">
        <v>465</v>
      </c>
      <c r="K171" s="25">
        <f t="shared" si="92"/>
        <v>-1.0638297872340425E-2</v>
      </c>
      <c r="L171" s="100">
        <f>IF(ISNUMBER(J171), $B172 * K171, "")</f>
        <v>-3191.4893617021276</v>
      </c>
      <c r="M171" s="98">
        <v>469</v>
      </c>
      <c r="N171" s="25">
        <f t="shared" si="93"/>
        <v>-2.1276595744680851E-3</v>
      </c>
      <c r="O171" s="100">
        <f>IF(ISNUMBER(M171), $B172 * N171, "")</f>
        <v>-638.29787234042556</v>
      </c>
      <c r="Q171" s="300"/>
      <c r="R171" s="301"/>
      <c r="S171" s="302"/>
    </row>
    <row r="172" spans="1:19" ht="17.25" thickBot="1">
      <c r="A172" s="26" t="s">
        <v>301</v>
      </c>
      <c r="B172" s="306">
        <f>$B$37</f>
        <v>300000</v>
      </c>
      <c r="C172" s="307"/>
      <c r="D172" s="26" t="s">
        <v>302</v>
      </c>
      <c r="E172" s="27">
        <f>IF(COUNT(E152:E171), SUM(E152:E171) / COUNT(E152:E171), 0)</f>
        <v>-6.4382488306821582E-3</v>
      </c>
      <c r="F172" s="28">
        <f>SUM(F152:F171)</f>
        <v>-38629.492984092954</v>
      </c>
      <c r="G172" s="26" t="s">
        <v>302</v>
      </c>
      <c r="H172" s="27">
        <f>IF(COUNT(H152:H171), SUM(H152:H171) / COUNT(H152:H171), 0)</f>
        <v>-5.6349507594533142E-3</v>
      </c>
      <c r="I172" s="28">
        <f>SUM(I152:I171)</f>
        <v>-33809.704556719887</v>
      </c>
      <c r="J172" s="26" t="s">
        <v>302</v>
      </c>
      <c r="K172" s="27">
        <f>IF(COUNT(K152:K171), SUM(K152:K171) / COUNT(K152:K171), 0)</f>
        <v>7.6240072672426322E-4</v>
      </c>
      <c r="L172" s="28">
        <f>SUM(L152:L171)</f>
        <v>4574.404360345583</v>
      </c>
      <c r="M172" s="26" t="s">
        <v>302</v>
      </c>
      <c r="N172" s="27">
        <f>IF(COUNT(N152:N171), SUM(N152:N171) / COUNT(N152:N171), 0)</f>
        <v>1.1164578700102153E-2</v>
      </c>
      <c r="O172" s="28">
        <f>SUM(O152:O171)</f>
        <v>66987.472200612887</v>
      </c>
      <c r="Q172" s="303"/>
      <c r="R172" s="304"/>
      <c r="S172" s="305"/>
    </row>
    <row r="174" spans="1:19" ht="17.25" thickBot="1"/>
    <row r="175" spans="1:19" ht="17.25" thickBot="1">
      <c r="A175" s="249" t="s">
        <v>285</v>
      </c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50"/>
      <c r="M175" s="250"/>
      <c r="N175" s="250"/>
      <c r="O175" s="251"/>
      <c r="Q175" s="270"/>
      <c r="R175" s="270"/>
      <c r="S175" s="270"/>
    </row>
    <row r="176" spans="1:19" ht="17.25" thickBot="1">
      <c r="A176" s="107" t="s">
        <v>298</v>
      </c>
      <c r="B176" s="249" t="s">
        <v>49</v>
      </c>
      <c r="C176" s="251"/>
      <c r="D176" s="249" t="s">
        <v>58</v>
      </c>
      <c r="E176" s="250"/>
      <c r="F176" s="251"/>
      <c r="G176" s="276">
        <f>_xlfn.IFNA(VLOOKUP(B176, 현재가테이블!$B$2:$D$200, 2, FALSE), "-")</f>
        <v>60874000</v>
      </c>
      <c r="H176" s="277"/>
      <c r="I176" s="278"/>
      <c r="J176" s="249" t="s">
        <v>59</v>
      </c>
      <c r="K176" s="250"/>
      <c r="L176" s="251"/>
      <c r="M176" s="279">
        <f>_xlfn.IFNA(VLOOKUP(B176, 현재가테이블!$B$2:$D$200, 3, FALSE), "-")</f>
        <v>-1.4936000099999999E-2</v>
      </c>
      <c r="N176" s="280"/>
      <c r="O176" s="281"/>
      <c r="Q176" s="270"/>
      <c r="R176" s="270"/>
      <c r="S176" s="270"/>
    </row>
    <row r="177" spans="1:19" ht="17.25" thickBot="1">
      <c r="A177" s="293" t="s">
        <v>55</v>
      </c>
      <c r="B177" s="295" t="str">
        <f>TEXT($G$1, "[$-ko-KR]yyyy-mm-dd(ddd) ") &amp; "오전 00:00"</f>
        <v>2021-05-02(일) 오전 00:00</v>
      </c>
      <c r="C177" s="296"/>
      <c r="D177" s="272" t="str">
        <f>TEXT($G$1, "[$-ko-KR]yyyy-mm-dd(ddd) ") &amp; "오후 14:00"</f>
        <v>2021-05-02(일) 오후 14:00</v>
      </c>
      <c r="E177" s="273"/>
      <c r="F177" s="274"/>
      <c r="G177" s="272" t="str">
        <f>TEXT($G$1, "[$-ko-KR]yyyy-mm-dd(ddd) ") &amp; "오후 19:00"</f>
        <v>2021-05-02(일) 오후 19:00</v>
      </c>
      <c r="H177" s="273"/>
      <c r="I177" s="274"/>
      <c r="J177" s="272" t="str">
        <f>TEXT($G$1, "[$-ko-KR]yyyy-mm-dd(ddd) ") &amp; "오후 21:00"</f>
        <v>2021-05-02(일) 오후 21:00</v>
      </c>
      <c r="K177" s="273"/>
      <c r="L177" s="274"/>
      <c r="M177" s="272" t="str">
        <f>TEXT($G$1+1, "[$-ko-KR]yyyy-mm-dd(ddd) ") &amp; "오전 00:00"</f>
        <v>2021-05-03(월) 오전 00:00</v>
      </c>
      <c r="N177" s="273"/>
      <c r="O177" s="274"/>
      <c r="Q177" s="270"/>
      <c r="R177" s="270"/>
      <c r="S177" s="270"/>
    </row>
    <row r="178" spans="1:19" ht="17.25" thickBot="1">
      <c r="A178" s="294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75"/>
      <c r="R178" s="275"/>
      <c r="S178" s="275"/>
    </row>
    <row r="179" spans="1:19" ht="17.25" thickBot="1">
      <c r="A179" s="12" t="s">
        <v>264</v>
      </c>
      <c r="B179" s="13">
        <v>183</v>
      </c>
      <c r="C179" s="14">
        <v>-2.65957447E-2</v>
      </c>
      <c r="D179" s="13">
        <v>181</v>
      </c>
      <c r="E179" s="14">
        <f>IF(ISNUMBER(D179), (D179 - $B179) / $B179, "")</f>
        <v>-1.092896174863388E-2</v>
      </c>
      <c r="F179" s="16">
        <f>IF(ISNUMBER(D179), $B199 * E179, "")</f>
        <v>-3278.688524590164</v>
      </c>
      <c r="G179" s="29">
        <v>182</v>
      </c>
      <c r="H179" s="14">
        <f>IF(ISNUMBER(G179), (G179 - $B179) / $B179, "")</f>
        <v>-5.4644808743169399E-3</v>
      </c>
      <c r="I179" s="96">
        <f>IF(ISNUMBER(G179), $B199 * H179, "")</f>
        <v>-1639.344262295082</v>
      </c>
      <c r="J179" s="13">
        <v>182</v>
      </c>
      <c r="K179" s="14">
        <f>IF(ISNUMBER(J179), (J179 - $B179) / $B179, "")</f>
        <v>-5.4644808743169399E-3</v>
      </c>
      <c r="L179" s="16">
        <f>IF(ISNUMBER(J179), $B199 * K179, "")</f>
        <v>-1639.344262295082</v>
      </c>
      <c r="M179" s="29">
        <v>184</v>
      </c>
      <c r="N179" s="14">
        <f>IF(ISNUMBER(M179), (M179 - $B179) / $B179, "")</f>
        <v>5.4644808743169399E-3</v>
      </c>
      <c r="O179" s="16">
        <f>IF(ISNUMBER(M179), $B199 * N179, "")</f>
        <v>1639.344262295082</v>
      </c>
      <c r="Q179" s="270"/>
      <c r="R179" s="270"/>
      <c r="S179" s="270"/>
    </row>
    <row r="180" spans="1:19" ht="17.25" thickBot="1">
      <c r="A180" s="17" t="s">
        <v>196</v>
      </c>
      <c r="B180" s="15">
        <v>21.9</v>
      </c>
      <c r="C180" s="32">
        <v>-2.6666666700000001E-2</v>
      </c>
      <c r="D180" s="15">
        <v>21.7</v>
      </c>
      <c r="E180" s="32">
        <f t="shared" ref="E180:E183" si="94">IF(ISNUMBER(D180), (D180 - $B180) / $B180, "")</f>
        <v>-9.1324200913241692E-3</v>
      </c>
      <c r="F180" s="18">
        <f>IF(ISNUMBER(D180), $B199 * E180, "")</f>
        <v>-2739.7260273972506</v>
      </c>
      <c r="G180" s="31">
        <v>21.6</v>
      </c>
      <c r="H180" s="32">
        <f t="shared" ref="H180:H183" si="95">IF(ISNUMBER(G180), (G180 - $B180) / $B180, "")</f>
        <v>-1.3698630136986172E-2</v>
      </c>
      <c r="I180" s="97">
        <f>IF(ISNUMBER(G180), $B199 * H180, "")</f>
        <v>-4109.5890410958518</v>
      </c>
      <c r="J180" s="15">
        <v>21.8</v>
      </c>
      <c r="K180" s="32">
        <f t="shared" ref="K180:K183" si="96">IF(ISNUMBER(J180), (J180 - $B180) / $B180, "")</f>
        <v>-4.5662100456620031E-3</v>
      </c>
      <c r="L180" s="18">
        <f>IF(ISNUMBER(J180), $B199 * K180, "")</f>
        <v>-1369.863013698601</v>
      </c>
      <c r="M180" s="31">
        <v>21.8</v>
      </c>
      <c r="N180" s="32">
        <f t="shared" ref="N180:N183" si="97">IF(ISNUMBER(M180), (M180 - $B180) / $B180, "")</f>
        <v>-4.5662100456620031E-3</v>
      </c>
      <c r="O180" s="18">
        <f>IF(ISNUMBER(M180), $B199 * N180, "")</f>
        <v>-1369.863013698601</v>
      </c>
      <c r="Q180" s="270"/>
      <c r="R180" s="270"/>
      <c r="S180" s="270"/>
    </row>
    <row r="181" spans="1:19" ht="17.25" thickBot="1">
      <c r="A181" s="17" t="s">
        <v>210</v>
      </c>
      <c r="B181" s="15">
        <v>214</v>
      </c>
      <c r="C181" s="32">
        <v>-2.7272727300000001E-2</v>
      </c>
      <c r="D181" s="15">
        <v>213</v>
      </c>
      <c r="E181" s="32">
        <f t="shared" si="94"/>
        <v>-4.6728971962616819E-3</v>
      </c>
      <c r="F181" s="18">
        <f>IF(ISNUMBER(D181), $B199 * E181, "")</f>
        <v>-1401.8691588785045</v>
      </c>
      <c r="G181" s="31">
        <v>214</v>
      </c>
      <c r="H181" s="32">
        <f t="shared" si="95"/>
        <v>0</v>
      </c>
      <c r="I181" s="97">
        <f>IF(ISNUMBER(G181), $B199 * H181, "")</f>
        <v>0</v>
      </c>
      <c r="J181" s="15">
        <v>216</v>
      </c>
      <c r="K181" s="32">
        <f t="shared" si="96"/>
        <v>9.3457943925233638E-3</v>
      </c>
      <c r="L181" s="18">
        <f>IF(ISNUMBER(J181), $B199 * K181, "")</f>
        <v>2803.7383177570091</v>
      </c>
      <c r="M181" s="31">
        <v>219</v>
      </c>
      <c r="N181" s="32">
        <f t="shared" si="97"/>
        <v>2.336448598130841E-2</v>
      </c>
      <c r="O181" s="18">
        <f>IF(ISNUMBER(M181), $B199 * N181, "")</f>
        <v>7009.3457943925232</v>
      </c>
      <c r="Q181" s="275"/>
      <c r="R181" s="275"/>
      <c r="S181" s="275"/>
    </row>
    <row r="182" spans="1:19" ht="17.25" thickBot="1">
      <c r="A182" s="17" t="s">
        <v>184</v>
      </c>
      <c r="B182" s="15">
        <v>2585</v>
      </c>
      <c r="C182" s="32">
        <v>-2.81954887E-2</v>
      </c>
      <c r="D182" s="15">
        <v>2600</v>
      </c>
      <c r="E182" s="32">
        <f t="shared" si="94"/>
        <v>5.8027079303675051E-3</v>
      </c>
      <c r="F182" s="18">
        <f>IF(ISNUMBER(D182), $B199 * E182, "")</f>
        <v>1740.8123791102514</v>
      </c>
      <c r="G182" s="31">
        <v>2590</v>
      </c>
      <c r="H182" s="32">
        <f t="shared" si="95"/>
        <v>1.9342359767891683E-3</v>
      </c>
      <c r="I182" s="97">
        <f>IF(ISNUMBER(G182), $B199 * H182, "")</f>
        <v>580.27079303675043</v>
      </c>
      <c r="J182" s="15">
        <v>2610</v>
      </c>
      <c r="K182" s="32">
        <f t="shared" si="96"/>
        <v>9.6711798839458421E-3</v>
      </c>
      <c r="L182" s="18">
        <f>IF(ISNUMBER(J182), $B199 * K182, "")</f>
        <v>2901.3539651837527</v>
      </c>
      <c r="M182" s="31">
        <v>2610</v>
      </c>
      <c r="N182" s="32">
        <f t="shared" si="97"/>
        <v>9.6711798839458421E-3</v>
      </c>
      <c r="O182" s="18">
        <f>IF(ISNUMBER(M182), $B199 * N182, "")</f>
        <v>2901.3539651837527</v>
      </c>
      <c r="Q182" s="275"/>
      <c r="R182" s="275"/>
      <c r="S182" s="275"/>
    </row>
    <row r="183" spans="1:19" ht="17.25" thickBot="1">
      <c r="A183" s="19" t="s">
        <v>88</v>
      </c>
      <c r="B183" s="20">
        <v>653</v>
      </c>
      <c r="C183" s="21">
        <v>-2.82738095E-2</v>
      </c>
      <c r="D183" s="20">
        <v>635</v>
      </c>
      <c r="E183" s="21">
        <f t="shared" si="94"/>
        <v>-2.7565084226646247E-2</v>
      </c>
      <c r="F183" s="22">
        <f>IF(ISNUMBER(D183), $B199 * E183, "")</f>
        <v>-8269.5252679938749</v>
      </c>
      <c r="G183" s="30">
        <v>636</v>
      </c>
      <c r="H183" s="21">
        <f t="shared" si="95"/>
        <v>-2.6033690658499236E-2</v>
      </c>
      <c r="I183" s="101">
        <f>IF(ISNUMBER(G183), $B199 * H183, "")</f>
        <v>-7810.1071975497707</v>
      </c>
      <c r="J183" s="20">
        <v>639</v>
      </c>
      <c r="K183" s="21">
        <f t="shared" si="96"/>
        <v>-2.1439509954058193E-2</v>
      </c>
      <c r="L183" s="22">
        <f>IF(ISNUMBER(J183), $B199 * K183, "")</f>
        <v>-6431.8529862174573</v>
      </c>
      <c r="M183" s="30">
        <v>649</v>
      </c>
      <c r="N183" s="21">
        <f t="shared" si="97"/>
        <v>-6.1255742725880554E-3</v>
      </c>
      <c r="O183" s="22">
        <f>IF(ISNUMBER(M183), $B199 * N183, "")</f>
        <v>-1837.6722817764166</v>
      </c>
      <c r="Q183" s="275"/>
      <c r="R183" s="275"/>
      <c r="S183" s="275"/>
    </row>
    <row r="184" spans="1:19" ht="17.25" thickBot="1">
      <c r="A184" s="17" t="s">
        <v>61</v>
      </c>
      <c r="B184" s="102">
        <v>1710</v>
      </c>
      <c r="C184" s="103">
        <v>-2.84090909E-2</v>
      </c>
      <c r="D184" s="102">
        <v>1695</v>
      </c>
      <c r="E184" s="103">
        <f>IF(ISNUMBER(D184), (D184 - $B184) / $B184, "")</f>
        <v>-8.771929824561403E-3</v>
      </c>
      <c r="F184" s="104">
        <f>IF(ISNUMBER(D184), $B199 * E184, "")</f>
        <v>-2631.5789473684208</v>
      </c>
      <c r="G184" s="105">
        <v>1700</v>
      </c>
      <c r="H184" s="103">
        <f>IF(ISNUMBER(G184), (G184 - $B184) / $B184, "")</f>
        <v>-5.8479532163742687E-3</v>
      </c>
      <c r="I184" s="106">
        <f>IF(ISNUMBER(G184), $B199 * H184, "")</f>
        <v>-1754.3859649122805</v>
      </c>
      <c r="J184" s="102">
        <v>1700</v>
      </c>
      <c r="K184" s="103">
        <f>IF(ISNUMBER(J184), (J184 - $B184) / $B184, "")</f>
        <v>-5.8479532163742687E-3</v>
      </c>
      <c r="L184" s="104">
        <f>IF(ISNUMBER(J184), $B199 * K184, "")</f>
        <v>-1754.3859649122805</v>
      </c>
      <c r="M184" s="105">
        <v>1715</v>
      </c>
      <c r="N184" s="103">
        <f>IF(ISNUMBER(M184), (M184 - $B184) / $B184, "")</f>
        <v>2.9239766081871343E-3</v>
      </c>
      <c r="O184" s="104">
        <f>IF(ISNUMBER(M184), $B199 * N184, "")</f>
        <v>877.19298245614027</v>
      </c>
      <c r="Q184" s="275"/>
      <c r="R184" s="275"/>
      <c r="S184" s="275"/>
    </row>
    <row r="185" spans="1:19" ht="17.25" thickBot="1">
      <c r="A185" s="17" t="s">
        <v>186</v>
      </c>
      <c r="B185" s="15">
        <v>26.3</v>
      </c>
      <c r="C185" s="32">
        <v>-2.9520295200000001E-2</v>
      </c>
      <c r="D185" s="15">
        <v>27.2</v>
      </c>
      <c r="E185" s="32">
        <f t="shared" ref="E185:E188" si="98">IF(ISNUMBER(D185), (D185 - $B185) / $B185, "")</f>
        <v>3.4220532319391581E-2</v>
      </c>
      <c r="F185" s="18">
        <f>IF(ISNUMBER(D185), $B199 * E185, "")</f>
        <v>10266.159695817474</v>
      </c>
      <c r="G185" s="31">
        <v>27.3</v>
      </c>
      <c r="H185" s="32">
        <f t="shared" ref="H185:H188" si="99">IF(ISNUMBER(G185), (G185 - $B185) / $B185, "")</f>
        <v>3.8022813688212927E-2</v>
      </c>
      <c r="I185" s="97">
        <f>IF(ISNUMBER(G185), $B199 * H185, "")</f>
        <v>11406.844106463877</v>
      </c>
      <c r="J185" s="15">
        <v>27.6</v>
      </c>
      <c r="K185" s="32">
        <f t="shared" ref="K185:K188" si="100">IF(ISNUMBER(J185), (J185 - $B185) / $B185, "")</f>
        <v>4.9429657794676833E-2</v>
      </c>
      <c r="L185" s="18">
        <f>IF(ISNUMBER(J185), $B199 * K185, "")</f>
        <v>14828.897338403051</v>
      </c>
      <c r="M185" s="31">
        <v>27.8</v>
      </c>
      <c r="N185" s="32">
        <f t="shared" ref="N185:N188" si="101">IF(ISNUMBER(M185), (M185 - $B185) / $B185, "")</f>
        <v>5.7034220532319393E-2</v>
      </c>
      <c r="O185" s="18">
        <f>IF(ISNUMBER(M185), $B199 * N185, "")</f>
        <v>17110.266159695817</v>
      </c>
      <c r="Q185" s="275"/>
      <c r="R185" s="275"/>
      <c r="S185" s="275"/>
    </row>
    <row r="186" spans="1:19" ht="17.25" thickBot="1">
      <c r="A186" s="17" t="s">
        <v>252</v>
      </c>
      <c r="B186" s="15">
        <v>589</v>
      </c>
      <c r="C186" s="32">
        <v>-2.9654036200000001E-2</v>
      </c>
      <c r="D186" s="15">
        <v>581</v>
      </c>
      <c r="E186" s="32">
        <f t="shared" si="98"/>
        <v>-1.3582342954159592E-2</v>
      </c>
      <c r="F186" s="18">
        <f>IF(ISNUMBER(D186), $B199 * E186, "")</f>
        <v>-4074.7028862478778</v>
      </c>
      <c r="G186" s="31">
        <v>582</v>
      </c>
      <c r="H186" s="32">
        <f t="shared" si="99"/>
        <v>-1.1884550084889643E-2</v>
      </c>
      <c r="I186" s="97">
        <f>IF(ISNUMBER(G186), $B199 * H186, "")</f>
        <v>-3565.3650254668928</v>
      </c>
      <c r="J186" s="15">
        <v>586</v>
      </c>
      <c r="K186" s="32">
        <f t="shared" si="100"/>
        <v>-5.0933786078098476E-3</v>
      </c>
      <c r="L186" s="18">
        <f>IF(ISNUMBER(J186), $B199 * K186, "")</f>
        <v>-1528.0135823429544</v>
      </c>
      <c r="M186" s="31">
        <v>587</v>
      </c>
      <c r="N186" s="32">
        <f t="shared" si="101"/>
        <v>-3.3955857385398981E-3</v>
      </c>
      <c r="O186" s="18">
        <f>IF(ISNUMBER(M186), $B199 * N186, "")</f>
        <v>-1018.6757215619695</v>
      </c>
      <c r="Q186" s="275"/>
      <c r="R186" s="275"/>
      <c r="S186" s="275"/>
    </row>
    <row r="187" spans="1:19" ht="17.25" thickBot="1">
      <c r="A187" s="17" t="s">
        <v>172</v>
      </c>
      <c r="B187" s="15">
        <v>28.2</v>
      </c>
      <c r="C187" s="32">
        <v>-3.0927835099999999E-2</v>
      </c>
      <c r="D187" s="15">
        <v>28.1</v>
      </c>
      <c r="E187" s="32">
        <f t="shared" si="98"/>
        <v>-3.5460992907800663E-3</v>
      </c>
      <c r="F187" s="18">
        <f>IF(ISNUMBER(D187), $B199 * E187, "")</f>
        <v>-1063.8297872340199</v>
      </c>
      <c r="G187" s="31">
        <v>27.9</v>
      </c>
      <c r="H187" s="32">
        <f t="shared" si="99"/>
        <v>-1.0638297872340451E-2</v>
      </c>
      <c r="I187" s="97">
        <f>IF(ISNUMBER(G187), $B199 * H187, "")</f>
        <v>-3191.4893617021353</v>
      </c>
      <c r="J187" s="15">
        <v>27.9</v>
      </c>
      <c r="K187" s="32">
        <f t="shared" si="100"/>
        <v>-1.0638297872340451E-2</v>
      </c>
      <c r="L187" s="18">
        <f>IF(ISNUMBER(J187), $B199 * K187, "")</f>
        <v>-3191.4893617021353</v>
      </c>
      <c r="M187" s="31">
        <v>28.5</v>
      </c>
      <c r="N187" s="32">
        <f t="shared" si="101"/>
        <v>1.0638297872340451E-2</v>
      </c>
      <c r="O187" s="18">
        <f>IF(ISNUMBER(M187), $B199 * N187, "")</f>
        <v>3191.4893617021353</v>
      </c>
      <c r="Q187" s="33"/>
      <c r="R187" s="33"/>
    </row>
    <row r="188" spans="1:19" ht="17.25" thickBot="1">
      <c r="A188" s="23" t="s">
        <v>234</v>
      </c>
      <c r="B188" s="24">
        <v>1400</v>
      </c>
      <c r="C188" s="25">
        <v>-3.1141868499999999E-2</v>
      </c>
      <c r="D188" s="24">
        <v>1500</v>
      </c>
      <c r="E188" s="25">
        <f t="shared" si="98"/>
        <v>7.1428571428571425E-2</v>
      </c>
      <c r="F188" s="100">
        <f>IF(ISNUMBER(D188), $B199 * E188, "")</f>
        <v>21428.571428571428</v>
      </c>
      <c r="G188" s="98">
        <v>1500</v>
      </c>
      <c r="H188" s="25">
        <f t="shared" si="99"/>
        <v>7.1428571428571425E-2</v>
      </c>
      <c r="I188" s="99">
        <f>IF(ISNUMBER(G188), $B199 * H188, "")</f>
        <v>21428.571428571428</v>
      </c>
      <c r="J188" s="24">
        <v>1505</v>
      </c>
      <c r="K188" s="25">
        <f t="shared" si="100"/>
        <v>7.4999999999999997E-2</v>
      </c>
      <c r="L188" s="100">
        <f>IF(ISNUMBER(J188), $B199 * K188, "")</f>
        <v>22500</v>
      </c>
      <c r="M188" s="98">
        <v>1500</v>
      </c>
      <c r="N188" s="25">
        <f t="shared" si="101"/>
        <v>7.1428571428571425E-2</v>
      </c>
      <c r="O188" s="100">
        <f>IF(ISNUMBER(M188), $B199 * N188, "")</f>
        <v>21428.571428571428</v>
      </c>
      <c r="Q188" s="284"/>
      <c r="R188" s="285"/>
      <c r="S188" s="286"/>
    </row>
    <row r="189" spans="1:19">
      <c r="A189" s="12" t="s">
        <v>204</v>
      </c>
      <c r="B189" s="13">
        <v>10130</v>
      </c>
      <c r="C189" s="14">
        <v>-3.2473734499999997E-2</v>
      </c>
      <c r="D189" s="13">
        <v>9970</v>
      </c>
      <c r="E189" s="14">
        <f>IF(ISNUMBER(D189), (D189 - $B189) / $B189, "")</f>
        <v>-1.5794669299111549E-2</v>
      </c>
      <c r="F189" s="16">
        <f>IF(ISNUMBER(D189), $B199 * E189, "")</f>
        <v>-4738.400789733465</v>
      </c>
      <c r="G189" s="29">
        <v>9960</v>
      </c>
      <c r="H189" s="14">
        <f>IF(ISNUMBER(G189), (G189 - $B189) / $B189, "")</f>
        <v>-1.6781836130306021E-2</v>
      </c>
      <c r="I189" s="96">
        <f>IF(ISNUMBER(G189), $B199 * H189, "")</f>
        <v>-5034.5508390918067</v>
      </c>
      <c r="J189" s="13">
        <v>10000</v>
      </c>
      <c r="K189" s="14">
        <f>IF(ISNUMBER(J189), (J189 - $B189) / $B189, "")</f>
        <v>-1.2833168805528134E-2</v>
      </c>
      <c r="L189" s="16">
        <f>IF(ISNUMBER(J189), $B199 * K189, "")</f>
        <v>-3849.9506416584404</v>
      </c>
      <c r="M189" s="29">
        <v>9985</v>
      </c>
      <c r="N189" s="14">
        <f>IF(ISNUMBER(M189), (M189 - $B189) / $B189, "")</f>
        <v>-1.4313919052319843E-2</v>
      </c>
      <c r="O189" s="16">
        <f>IF(ISNUMBER(M189), $B199 * N189, "")</f>
        <v>-4294.1757156959529</v>
      </c>
      <c r="Q189" s="287"/>
      <c r="R189" s="288"/>
      <c r="S189" s="289"/>
    </row>
    <row r="190" spans="1:19" ht="17.25" thickBot="1">
      <c r="A190" s="17" t="s">
        <v>284</v>
      </c>
      <c r="B190" s="15">
        <v>470</v>
      </c>
      <c r="C190" s="32">
        <v>-3.2921810699999998E-2</v>
      </c>
      <c r="D190" s="15">
        <v>462</v>
      </c>
      <c r="E190" s="32">
        <f t="shared" ref="E190:E193" si="102">IF(ISNUMBER(D190), (D190 - $B190) / $B190, "")</f>
        <v>-1.7021276595744681E-2</v>
      </c>
      <c r="F190" s="18">
        <f>IF(ISNUMBER(D190), $B199 * E190, "")</f>
        <v>-5106.3829787234044</v>
      </c>
      <c r="G190" s="31">
        <v>462</v>
      </c>
      <c r="H190" s="32">
        <f t="shared" ref="H190:H193" si="103">IF(ISNUMBER(G190), (G190 - $B190) / $B190, "")</f>
        <v>-1.7021276595744681E-2</v>
      </c>
      <c r="I190" s="97">
        <f>IF(ISNUMBER(G190), $B199 * H190, "")</f>
        <v>-5106.3829787234044</v>
      </c>
      <c r="J190" s="15">
        <v>465</v>
      </c>
      <c r="K190" s="32">
        <f t="shared" ref="K190:K193" si="104">IF(ISNUMBER(J190), (J190 - $B190) / $B190, "")</f>
        <v>-1.0638297872340425E-2</v>
      </c>
      <c r="L190" s="18">
        <f>IF(ISNUMBER(J190), $B199 * K190, "")</f>
        <v>-3191.4893617021276</v>
      </c>
      <c r="M190" s="31">
        <v>469</v>
      </c>
      <c r="N190" s="32">
        <f t="shared" ref="N190:N193" si="105">IF(ISNUMBER(M190), (M190 - $B190) / $B190, "")</f>
        <v>-2.1276595744680851E-3</v>
      </c>
      <c r="O190" s="18">
        <f>IF(ISNUMBER(M190), $B199 * N190, "")</f>
        <v>-638.29787234042556</v>
      </c>
      <c r="Q190" s="290"/>
      <c r="R190" s="291"/>
      <c r="S190" s="292"/>
    </row>
    <row r="191" spans="1:19" ht="17.25" thickBot="1">
      <c r="A191" s="17" t="s">
        <v>218</v>
      </c>
      <c r="B191" s="15">
        <v>32.1</v>
      </c>
      <c r="C191" s="32">
        <v>-3.3132530100000002E-2</v>
      </c>
      <c r="D191" s="15">
        <v>31.5</v>
      </c>
      <c r="E191" s="32">
        <f t="shared" si="102"/>
        <v>-1.8691588785046773E-2</v>
      </c>
      <c r="F191" s="18">
        <f>IF(ISNUMBER(D191), $B199 * E191, "")</f>
        <v>-5607.4766355140318</v>
      </c>
      <c r="G191" s="31">
        <v>31.8</v>
      </c>
      <c r="H191" s="32">
        <f t="shared" si="103"/>
        <v>-9.3457943925233863E-3</v>
      </c>
      <c r="I191" s="97">
        <f>IF(ISNUMBER(G191), $B199 * H191, "")</f>
        <v>-2803.7383177570159</v>
      </c>
      <c r="J191" s="15">
        <v>31.8</v>
      </c>
      <c r="K191" s="32">
        <f t="shared" si="104"/>
        <v>-9.3457943925233863E-3</v>
      </c>
      <c r="L191" s="18">
        <f>IF(ISNUMBER(J191), $B199 * K191, "")</f>
        <v>-2803.7383177570159</v>
      </c>
      <c r="M191" s="31">
        <v>32.1</v>
      </c>
      <c r="N191" s="32">
        <f t="shared" si="105"/>
        <v>0</v>
      </c>
      <c r="O191" s="18">
        <f>IF(ISNUMBER(M191), $B199 * N191, "")</f>
        <v>0</v>
      </c>
      <c r="Q191" s="275"/>
      <c r="R191" s="275"/>
      <c r="S191" s="275"/>
    </row>
    <row r="192" spans="1:19" ht="17.25" thickBot="1">
      <c r="A192" s="17" t="s">
        <v>82</v>
      </c>
      <c r="B192" s="15">
        <v>1585</v>
      </c>
      <c r="C192" s="32">
        <v>-3.3536585399999999E-2</v>
      </c>
      <c r="D192" s="15">
        <v>1560</v>
      </c>
      <c r="E192" s="32">
        <f t="shared" si="102"/>
        <v>-1.5772870662460567E-2</v>
      </c>
      <c r="F192" s="18">
        <f>IF(ISNUMBER(D192), $B199 * E192, "")</f>
        <v>-4731.8611987381701</v>
      </c>
      <c r="G192" s="31">
        <v>1565</v>
      </c>
      <c r="H192" s="32">
        <f t="shared" si="103"/>
        <v>-1.2618296529968454E-2</v>
      </c>
      <c r="I192" s="97">
        <f>IF(ISNUMBER(G192), $B199 * H192, "")</f>
        <v>-3785.488958990536</v>
      </c>
      <c r="J192" s="15">
        <v>1575</v>
      </c>
      <c r="K192" s="32">
        <f t="shared" si="104"/>
        <v>-6.3091482649842269E-3</v>
      </c>
      <c r="L192" s="18">
        <f>IF(ISNUMBER(J192), $B199 * K192, "")</f>
        <v>-1892.744479495268</v>
      </c>
      <c r="M192" s="31">
        <v>1575</v>
      </c>
      <c r="N192" s="32">
        <f t="shared" si="105"/>
        <v>-6.3091482649842269E-3</v>
      </c>
      <c r="O192" s="18">
        <f>IF(ISNUMBER(M192), $B199 * N192, "")</f>
        <v>-1892.744479495268</v>
      </c>
      <c r="Q192" s="270"/>
      <c r="R192" s="270"/>
      <c r="S192" s="270"/>
    </row>
    <row r="193" spans="1:19" ht="17.25" thickBot="1">
      <c r="A193" s="19" t="s">
        <v>254</v>
      </c>
      <c r="B193" s="20">
        <v>92.4</v>
      </c>
      <c r="C193" s="21">
        <v>-3.54906054E-2</v>
      </c>
      <c r="D193" s="20">
        <v>93.7</v>
      </c>
      <c r="E193" s="21">
        <f t="shared" si="102"/>
        <v>1.4069264069264037E-2</v>
      </c>
      <c r="F193" s="22">
        <f>IF(ISNUMBER(D193), $B199 * E193, "")</f>
        <v>4220.7792207792108</v>
      </c>
      <c r="G193" s="30">
        <v>93.9</v>
      </c>
      <c r="H193" s="21">
        <f t="shared" si="103"/>
        <v>1.6233766233766232E-2</v>
      </c>
      <c r="I193" s="101">
        <f>IF(ISNUMBER(G193), $B199 * H193, "")</f>
        <v>4870.1298701298692</v>
      </c>
      <c r="J193" s="20">
        <v>96</v>
      </c>
      <c r="K193" s="21">
        <f t="shared" si="104"/>
        <v>3.8961038961038898E-2</v>
      </c>
      <c r="L193" s="22">
        <f>IF(ISNUMBER(J193), $B199 * K193, "")</f>
        <v>11688.311688311669</v>
      </c>
      <c r="M193" s="30">
        <v>96.1</v>
      </c>
      <c r="N193" s="21">
        <f t="shared" si="105"/>
        <v>4.0043290043289916E-2</v>
      </c>
      <c r="O193" s="22">
        <f>IF(ISNUMBER(M193), $B199 * N193, "")</f>
        <v>12012.987012986974</v>
      </c>
      <c r="Q193" s="270"/>
      <c r="R193" s="270"/>
      <c r="S193" s="270"/>
    </row>
    <row r="194" spans="1:19" ht="17.25" thickBot="1">
      <c r="A194" s="17" t="s">
        <v>190</v>
      </c>
      <c r="B194" s="102">
        <v>78410</v>
      </c>
      <c r="C194" s="103">
        <v>-4.1325345399999998E-2</v>
      </c>
      <c r="D194" s="102">
        <v>76720</v>
      </c>
      <c r="E194" s="103">
        <f>IF(ISNUMBER(D194), (D194 - $B194) / $B194, "")</f>
        <v>-2.1553373294222675E-2</v>
      </c>
      <c r="F194" s="104">
        <f>IF(ISNUMBER(D194), $B199 * E194, "")</f>
        <v>-6466.0119882668023</v>
      </c>
      <c r="G194" s="105">
        <v>76560</v>
      </c>
      <c r="H194" s="103">
        <f>IF(ISNUMBER(G194), (G194 - $B194) / $B194, "")</f>
        <v>-2.3593929345746716E-2</v>
      </c>
      <c r="I194" s="106">
        <f>IF(ISNUMBER(G194), $B199 * H194, "")</f>
        <v>-7078.1788037240149</v>
      </c>
      <c r="J194" s="102">
        <v>76820</v>
      </c>
      <c r="K194" s="103">
        <f>IF(ISNUMBER(J194), (J194 - $B194) / $B194, "")</f>
        <v>-2.027802576202015E-2</v>
      </c>
      <c r="L194" s="104">
        <f>IF(ISNUMBER(J194), $B199 * K194, "")</f>
        <v>-6083.4077286060447</v>
      </c>
      <c r="M194" s="105">
        <v>77290</v>
      </c>
      <c r="N194" s="103">
        <f>IF(ISNUMBER(M194), (M194 - $B194) / $B194, "")</f>
        <v>-1.4283892360668283E-2</v>
      </c>
      <c r="O194" s="104">
        <f>IF(ISNUMBER(M194), $B199 * N194, "")</f>
        <v>-4285.1677082004844</v>
      </c>
      <c r="Q194" s="275"/>
      <c r="R194" s="275"/>
      <c r="S194" s="275"/>
    </row>
    <row r="195" spans="1:19" ht="17.25" thickBot="1">
      <c r="A195" s="17" t="s">
        <v>67</v>
      </c>
      <c r="B195" s="15">
        <v>10040</v>
      </c>
      <c r="C195" s="32">
        <v>-4.38095238E-2</v>
      </c>
      <c r="D195" s="15">
        <v>9735</v>
      </c>
      <c r="E195" s="32">
        <f t="shared" ref="E195:E198" si="106">IF(ISNUMBER(D195), (D195 - $B195) / $B195, "")</f>
        <v>-3.0378486055776893E-2</v>
      </c>
      <c r="F195" s="18">
        <f>IF(ISNUMBER(D195), $B199 * E195, "")</f>
        <v>-9113.5458167330671</v>
      </c>
      <c r="G195" s="31">
        <v>9730</v>
      </c>
      <c r="H195" s="32">
        <f t="shared" ref="H195:H198" si="107">IF(ISNUMBER(G195), (G195 - $B195) / $B195, "")</f>
        <v>-3.0876494023904383E-2</v>
      </c>
      <c r="I195" s="97">
        <f>IF(ISNUMBER(G195), $B199 * H195, "")</f>
        <v>-9262.9482071713155</v>
      </c>
      <c r="J195" s="15">
        <v>9880</v>
      </c>
      <c r="K195" s="32">
        <f t="shared" ref="K195:K198" si="108">IF(ISNUMBER(J195), (J195 - $B195) / $B195, "")</f>
        <v>-1.5936254980079681E-2</v>
      </c>
      <c r="L195" s="18">
        <f>IF(ISNUMBER(J195), $B199 * K195, "")</f>
        <v>-4780.8764940239043</v>
      </c>
      <c r="M195" s="31">
        <v>9890</v>
      </c>
      <c r="N195" s="32">
        <f t="shared" ref="N195:N198" si="109">IF(ISNUMBER(M195), (M195 - $B195) / $B195, "")</f>
        <v>-1.4940239043824702E-2</v>
      </c>
      <c r="O195" s="18">
        <f>IF(ISNUMBER(M195), $B199 * N195, "")</f>
        <v>-4482.0717131474103</v>
      </c>
      <c r="Q195" s="275"/>
      <c r="R195" s="275"/>
      <c r="S195" s="275"/>
    </row>
    <row r="196" spans="1:19" ht="17.25" thickBot="1">
      <c r="A196" s="17" t="s">
        <v>158</v>
      </c>
      <c r="B196" s="15">
        <v>11480</v>
      </c>
      <c r="C196" s="32">
        <v>-4.5719035700000001E-2</v>
      </c>
      <c r="D196" s="15">
        <v>11320</v>
      </c>
      <c r="E196" s="32">
        <f t="shared" si="106"/>
        <v>-1.3937282229965157E-2</v>
      </c>
      <c r="F196" s="18">
        <f>IF(ISNUMBER(D196), $B199 * E196, "")</f>
        <v>-4181.1846689895474</v>
      </c>
      <c r="G196" s="31">
        <v>11250</v>
      </c>
      <c r="H196" s="32">
        <f t="shared" si="107"/>
        <v>-2.0034843205574911E-2</v>
      </c>
      <c r="I196" s="97">
        <f>IF(ISNUMBER(G196), $B199 * H196, "")</f>
        <v>-6010.4529616724731</v>
      </c>
      <c r="J196" s="15">
        <v>11270</v>
      </c>
      <c r="K196" s="32">
        <f t="shared" si="108"/>
        <v>-1.8292682926829267E-2</v>
      </c>
      <c r="L196" s="18">
        <f>IF(ISNUMBER(J196), $B199 * K196, "")</f>
        <v>-5487.8048780487798</v>
      </c>
      <c r="M196" s="31">
        <v>11290</v>
      </c>
      <c r="N196" s="32">
        <f t="shared" si="109"/>
        <v>-1.6550522648083623E-2</v>
      </c>
      <c r="O196" s="18">
        <f>IF(ISNUMBER(M196), $B199 * N196, "")</f>
        <v>-4965.1567944250874</v>
      </c>
      <c r="Q196" s="275"/>
      <c r="R196" s="275"/>
      <c r="S196" s="275"/>
    </row>
    <row r="197" spans="1:19">
      <c r="A197" s="17" t="s">
        <v>65</v>
      </c>
      <c r="B197" s="15">
        <v>77.5</v>
      </c>
      <c r="C197" s="32">
        <v>-4.6740467399999999E-2</v>
      </c>
      <c r="D197" s="15">
        <v>76.7</v>
      </c>
      <c r="E197" s="32">
        <f t="shared" si="106"/>
        <v>-1.0322580645161254E-2</v>
      </c>
      <c r="F197" s="18">
        <f>IF(ISNUMBER(D197), $B199 * E197, "")</f>
        <v>-3096.7741935483764</v>
      </c>
      <c r="G197" s="31">
        <v>76</v>
      </c>
      <c r="H197" s="32">
        <f t="shared" si="107"/>
        <v>-1.935483870967742E-2</v>
      </c>
      <c r="I197" s="97">
        <f>IF(ISNUMBER(G197), $B199 * H197, "")</f>
        <v>-5806.4516129032263</v>
      </c>
      <c r="J197" s="15">
        <v>75.599999999999994</v>
      </c>
      <c r="K197" s="32">
        <f t="shared" si="108"/>
        <v>-2.4516129032258138E-2</v>
      </c>
      <c r="L197" s="18">
        <f>IF(ISNUMBER(J197), $B199 * K197, "")</f>
        <v>-7354.8387096774413</v>
      </c>
      <c r="M197" s="31">
        <v>75.8</v>
      </c>
      <c r="N197" s="32">
        <f t="shared" si="109"/>
        <v>-2.1935483870967779E-2</v>
      </c>
      <c r="O197" s="18">
        <f>IF(ISNUMBER(M197), $B199 * N197, "")</f>
        <v>-6580.6451612903338</v>
      </c>
      <c r="Q197" s="297"/>
      <c r="R197" s="298"/>
      <c r="S197" s="299"/>
    </row>
    <row r="198" spans="1:19" ht="17.25" thickBot="1">
      <c r="A198" s="23" t="s">
        <v>126</v>
      </c>
      <c r="B198" s="24">
        <v>70.7</v>
      </c>
      <c r="C198" s="25">
        <v>-4.9731182800000003E-2</v>
      </c>
      <c r="D198" s="24">
        <v>68</v>
      </c>
      <c r="E198" s="25">
        <f t="shared" si="106"/>
        <v>-3.8189533239038231E-2</v>
      </c>
      <c r="F198" s="100">
        <f>IF(ISNUMBER(D198), $B199 * E198, "")</f>
        <v>-11456.85997171147</v>
      </c>
      <c r="G198" s="98">
        <v>68</v>
      </c>
      <c r="H198" s="25">
        <f t="shared" si="107"/>
        <v>-3.8189533239038231E-2</v>
      </c>
      <c r="I198" s="99">
        <f>IF(ISNUMBER(G198), $B199 * H198, "")</f>
        <v>-11456.85997171147</v>
      </c>
      <c r="J198" s="24">
        <v>68.5</v>
      </c>
      <c r="K198" s="25">
        <f t="shared" si="108"/>
        <v>-3.1117397454031158E-2</v>
      </c>
      <c r="L198" s="100">
        <f>IF(ISNUMBER(J198), $B199 * K198, "")</f>
        <v>-9335.2192362093465</v>
      </c>
      <c r="M198" s="98">
        <v>68.7</v>
      </c>
      <c r="N198" s="25">
        <f t="shared" si="109"/>
        <v>-2.8288543140028287E-2</v>
      </c>
      <c r="O198" s="100">
        <f>IF(ISNUMBER(M198), $B199 * N198, "")</f>
        <v>-8486.5629420084861</v>
      </c>
      <c r="Q198" s="300"/>
      <c r="R198" s="301"/>
      <c r="S198" s="302"/>
    </row>
    <row r="199" spans="1:19" ht="17.25" thickBot="1">
      <c r="A199" s="26" t="s">
        <v>301</v>
      </c>
      <c r="B199" s="306">
        <f>$B$37</f>
        <v>300000</v>
      </c>
      <c r="C199" s="307"/>
      <c r="D199" s="26" t="s">
        <v>302</v>
      </c>
      <c r="E199" s="27">
        <f>IF(COUNT(E179:E198), SUM(E179:E198) / COUNT(E179:E198), 0)</f>
        <v>-6.7170160195650138E-3</v>
      </c>
      <c r="F199" s="28">
        <f>SUM(F179:F198)</f>
        <v>-40302.096117390087</v>
      </c>
      <c r="G199" s="26" t="s">
        <v>302</v>
      </c>
      <c r="H199" s="27">
        <f>IF(COUNT(H179:H198), SUM(H179:H198) / COUNT(H179:H198), 0)</f>
        <v>-6.6882528844275577E-3</v>
      </c>
      <c r="I199" s="28">
        <f>SUM(I179:I198)</f>
        <v>-40129.517306565351</v>
      </c>
      <c r="J199" s="26" t="s">
        <v>302</v>
      </c>
      <c r="K199" s="27">
        <f>IF(COUNT(K179:K198), SUM(K179:K198) / COUNT(K179:K198), 0)</f>
        <v>-9.9545295144856704E-4</v>
      </c>
      <c r="L199" s="28">
        <f>SUM(L179:L198)</f>
        <v>-5972.7177086913989</v>
      </c>
      <c r="M199" s="26" t="s">
        <v>302</v>
      </c>
      <c r="N199" s="27">
        <f>IF(COUNT(N179:N198), SUM(N179:N198) / COUNT(N179:N198), 0)</f>
        <v>4.3865862606072333E-3</v>
      </c>
      <c r="O199" s="28">
        <f>SUM(O179:O198)</f>
        <v>26319.517563643429</v>
      </c>
      <c r="Q199" s="303"/>
      <c r="R199" s="304"/>
      <c r="S199" s="30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68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8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7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7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7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7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7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7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7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7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71" priority="157">
      <formula>AND($N17 &gt; 0, ISNUMBER($N17))</formula>
    </cfRule>
    <cfRule type="expression" dxfId="2670" priority="158">
      <formula>AND($N17 = 0 * ISNUMBER($N17))</formula>
    </cfRule>
    <cfRule type="expression" dxfId="2669" priority="159">
      <formula>AND($N17 &lt; 0, ISNUMBER($N17))</formula>
    </cfRule>
  </conditionalFormatting>
  <conditionalFormatting sqref="A17:F36">
    <cfRule type="expression" dxfId="2668" priority="166">
      <formula>AND($E17 &gt; 0, ISNUMBER($E17))</formula>
    </cfRule>
    <cfRule type="expression" dxfId="2667" priority="167">
      <formula>AND($E17 = 0 * ISNUMBER($E17))</formula>
    </cfRule>
    <cfRule type="expression" dxfId="2666" priority="168">
      <formula>AND($E17 &lt; 0, ISNUMBER($E17))</formula>
    </cfRule>
  </conditionalFormatting>
  <conditionalFormatting sqref="A17:C36 G17:I36">
    <cfRule type="expression" dxfId="2665" priority="163">
      <formula>AND($H17 &gt; 0, ISNUMBER($H17))</formula>
    </cfRule>
    <cfRule type="expression" dxfId="2664" priority="164">
      <formula>AND($H17 = 0 * ISNUMBER($H17))</formula>
    </cfRule>
    <cfRule type="expression" dxfId="2663" priority="165">
      <formula>AND($H17 &lt; 0, ISNUMBER($H17))</formula>
    </cfRule>
  </conditionalFormatting>
  <conditionalFormatting sqref="A17:C36 J17:L36">
    <cfRule type="expression" dxfId="2662" priority="160">
      <formula>AND($K17 &gt; 0, ISNUMBER($K17))</formula>
    </cfRule>
    <cfRule type="expression" dxfId="2661" priority="161">
      <formula>AND($K17 = 0 * ISNUMBER($K17))</formula>
    </cfRule>
    <cfRule type="expression" dxfId="2660" priority="162">
      <formula>AND($K17 &lt; 0, ISNUMBER($K17))</formula>
    </cfRule>
  </conditionalFormatting>
  <conditionalFormatting sqref="D15:F16 E37:F37">
    <cfRule type="expression" dxfId="2659" priority="154">
      <formula>$E$37 &gt; 0</formula>
    </cfRule>
    <cfRule type="expression" dxfId="2658" priority="155">
      <formula>$E$37 = 0</formula>
    </cfRule>
    <cfRule type="expression" dxfId="2657" priority="156">
      <formula>$E$37 &lt; 0</formula>
    </cfRule>
  </conditionalFormatting>
  <conditionalFormatting sqref="G15:I16 H37:I37">
    <cfRule type="expression" dxfId="2656" priority="151">
      <formula>$H$37 &gt; 0</formula>
    </cfRule>
    <cfRule type="expression" dxfId="2655" priority="152">
      <formula>$H$37 = 0</formula>
    </cfRule>
    <cfRule type="expression" dxfId="2654" priority="153">
      <formula>$H$37 &lt; 0</formula>
    </cfRule>
  </conditionalFormatting>
  <conditionalFormatting sqref="J15:L16 K37:L37">
    <cfRule type="expression" dxfId="2653" priority="148">
      <formula>$K$37 &gt; 0</formula>
    </cfRule>
    <cfRule type="expression" dxfId="2652" priority="149">
      <formula>$K$37 = 0</formula>
    </cfRule>
    <cfRule type="expression" dxfId="2651" priority="150">
      <formula>$K$37 &lt; 0</formula>
    </cfRule>
  </conditionalFormatting>
  <conditionalFormatting sqref="M15:O16 N37:O37">
    <cfRule type="expression" dxfId="2650" priority="145">
      <formula>$N$37 &gt; 0</formula>
    </cfRule>
    <cfRule type="expression" dxfId="2649" priority="146">
      <formula>$N$37 = 0</formula>
    </cfRule>
    <cfRule type="expression" dxfId="2648" priority="147">
      <formula>$N$37 &lt; 0</formula>
    </cfRule>
  </conditionalFormatting>
  <conditionalFormatting sqref="A44:C63 M44:O63">
    <cfRule type="expression" dxfId="2647" priority="133">
      <formula>AND($N44 &gt; 0, ISNUMBER($N44))</formula>
    </cfRule>
    <cfRule type="expression" dxfId="2646" priority="134">
      <formula>AND($N44 = 0 * ISNUMBER($N44))</formula>
    </cfRule>
    <cfRule type="expression" dxfId="2645" priority="135">
      <formula>AND($N44 &lt; 0, ISNUMBER($N44))</formula>
    </cfRule>
  </conditionalFormatting>
  <conditionalFormatting sqref="A44:F63">
    <cfRule type="expression" dxfId="2644" priority="142">
      <formula>AND($E44 &gt; 0, ISNUMBER($E44))</formula>
    </cfRule>
    <cfRule type="expression" dxfId="2643" priority="143">
      <formula>AND($E44 = 0 * ISNUMBER($E44))</formula>
    </cfRule>
    <cfRule type="expression" dxfId="2642" priority="144">
      <formula>AND($E44 &lt; 0, ISNUMBER($E44))</formula>
    </cfRule>
  </conditionalFormatting>
  <conditionalFormatting sqref="A44:C63 G44:I63">
    <cfRule type="expression" dxfId="2641" priority="139">
      <formula>AND($H44 &gt; 0, ISNUMBER($H44))</formula>
    </cfRule>
    <cfRule type="expression" dxfId="2640" priority="140">
      <formula>AND($H44 = 0 * ISNUMBER($H44))</formula>
    </cfRule>
    <cfRule type="expression" dxfId="2639" priority="141">
      <formula>AND($H44 &lt; 0, ISNUMBER($H44))</formula>
    </cfRule>
  </conditionalFormatting>
  <conditionalFormatting sqref="A44:C63 J44:L63">
    <cfRule type="expression" dxfId="2638" priority="136">
      <formula>AND($K44 &gt; 0, ISNUMBER($K44))</formula>
    </cfRule>
    <cfRule type="expression" dxfId="2637" priority="137">
      <formula>AND($K44 = 0 * ISNUMBER($K44))</formula>
    </cfRule>
    <cfRule type="expression" dxfId="2636" priority="138">
      <formula>AND($K44 &lt; 0, ISNUMBER($K44))</formula>
    </cfRule>
  </conditionalFormatting>
  <conditionalFormatting sqref="D42:F43 E64:F64">
    <cfRule type="expression" dxfId="2635" priority="130">
      <formula>$E$64 &gt; 0</formula>
    </cfRule>
    <cfRule type="expression" dxfId="2634" priority="131">
      <formula>$E$64 = 0</formula>
    </cfRule>
    <cfRule type="expression" dxfId="2633" priority="132">
      <formula>$E$64 &lt; 0</formula>
    </cfRule>
  </conditionalFormatting>
  <conditionalFormatting sqref="G42:I43 H64:I64">
    <cfRule type="expression" dxfId="2632" priority="127">
      <formula>$H$64 &gt; 0</formula>
    </cfRule>
    <cfRule type="expression" dxfId="2631" priority="128">
      <formula>$H$64 = 0</formula>
    </cfRule>
    <cfRule type="expression" dxfId="2630" priority="129">
      <formula>$H$64 &lt; 0</formula>
    </cfRule>
  </conditionalFormatting>
  <conditionalFormatting sqref="J42:L43 K64:L64">
    <cfRule type="expression" dxfId="2629" priority="124">
      <formula>$K$64 &gt; 0</formula>
    </cfRule>
    <cfRule type="expression" dxfId="2628" priority="125">
      <formula>$K$64 = 0</formula>
    </cfRule>
    <cfRule type="expression" dxfId="2627" priority="126">
      <formula>$K$64 &lt; 0</formula>
    </cfRule>
  </conditionalFormatting>
  <conditionalFormatting sqref="M42:O43 N64:O64">
    <cfRule type="expression" dxfId="2626" priority="121">
      <formula>$N$64 &gt; 0</formula>
    </cfRule>
    <cfRule type="expression" dxfId="2625" priority="122">
      <formula>$N$64 = 0</formula>
    </cfRule>
    <cfRule type="expression" dxfId="2624" priority="123">
      <formula>$N$64 &lt; 0</formula>
    </cfRule>
  </conditionalFormatting>
  <conditionalFormatting sqref="A71:C90 M71:O90">
    <cfRule type="expression" dxfId="2623" priority="109">
      <formula>AND($N71 &gt; 0, ISNUMBER($N71))</formula>
    </cfRule>
    <cfRule type="expression" dxfId="2622" priority="110">
      <formula>AND($N71 = 0 * ISNUMBER($N71))</formula>
    </cfRule>
    <cfRule type="expression" dxfId="2621" priority="111">
      <formula>AND($N71 &lt; 0, ISNUMBER($N71))</formula>
    </cfRule>
  </conditionalFormatting>
  <conditionalFormatting sqref="A71:F90">
    <cfRule type="expression" dxfId="2620" priority="118">
      <formula>AND($E71 &gt; 0, ISNUMBER($E71))</formula>
    </cfRule>
    <cfRule type="expression" dxfId="2619" priority="119">
      <formula>AND($E71 = 0 * ISNUMBER($E71))</formula>
    </cfRule>
    <cfRule type="expression" dxfId="2618" priority="120">
      <formula>AND($E71 &lt; 0, ISNUMBER($E71))</formula>
    </cfRule>
  </conditionalFormatting>
  <conditionalFormatting sqref="A71:C90 G71:I90">
    <cfRule type="expression" dxfId="2617" priority="115">
      <formula>AND($H71 &gt; 0, ISNUMBER($H71))</formula>
    </cfRule>
    <cfRule type="expression" dxfId="2616" priority="116">
      <formula>AND($H71 = 0 * ISNUMBER($H71))</formula>
    </cfRule>
    <cfRule type="expression" dxfId="2615" priority="117">
      <formula>AND($H71 &lt; 0, ISNUMBER($H71))</formula>
    </cfRule>
  </conditionalFormatting>
  <conditionalFormatting sqref="A71:C90 J71:L90">
    <cfRule type="expression" dxfId="2614" priority="112">
      <formula>AND($K71 &gt; 0, ISNUMBER($K71))</formula>
    </cfRule>
    <cfRule type="expression" dxfId="2613" priority="113">
      <formula>AND($K71 = 0 * ISNUMBER($K71))</formula>
    </cfRule>
    <cfRule type="expression" dxfId="2612" priority="114">
      <formula>AND($K71 &lt; 0, ISNUMBER($K71))</formula>
    </cfRule>
  </conditionalFormatting>
  <conditionalFormatting sqref="D69:F70 E91:F91">
    <cfRule type="expression" dxfId="2611" priority="106">
      <formula>$E$91 &gt; 0</formula>
    </cfRule>
    <cfRule type="expression" dxfId="2610" priority="107">
      <formula>$E$91 = 0</formula>
    </cfRule>
    <cfRule type="expression" dxfId="2609" priority="108">
      <formula>$E$91 &lt; 0</formula>
    </cfRule>
  </conditionalFormatting>
  <conditionalFormatting sqref="G69:I70 H91:I91">
    <cfRule type="expression" dxfId="2608" priority="103">
      <formula>$H$91 &gt; 0</formula>
    </cfRule>
    <cfRule type="expression" dxfId="2607" priority="104">
      <formula>$H$91 = 0</formula>
    </cfRule>
    <cfRule type="expression" dxfId="2606" priority="105">
      <formula>$H$91 &lt; 0</formula>
    </cfRule>
  </conditionalFormatting>
  <conditionalFormatting sqref="J69:L70 K91:L91">
    <cfRule type="expression" dxfId="2605" priority="100">
      <formula>$K$91 &gt; 0</formula>
    </cfRule>
    <cfRule type="expression" dxfId="2604" priority="101">
      <formula>$K$91 = 0</formula>
    </cfRule>
    <cfRule type="expression" dxfId="2603" priority="102">
      <formula>$K$91 &lt; 0</formula>
    </cfRule>
  </conditionalFormatting>
  <conditionalFormatting sqref="M69:O70 N91:O91">
    <cfRule type="expression" dxfId="2602" priority="97">
      <formula>$N$91 &gt; 0</formula>
    </cfRule>
    <cfRule type="expression" dxfId="2601" priority="98">
      <formula>$N$91 = 0</formula>
    </cfRule>
    <cfRule type="expression" dxfId="2600" priority="99">
      <formula>$N$91 &lt; 0</formula>
    </cfRule>
  </conditionalFormatting>
  <conditionalFormatting sqref="A98:C117 M98:O117">
    <cfRule type="expression" dxfId="2599" priority="85">
      <formula>AND($N98 &gt; 0, ISNUMBER($N98))</formula>
    </cfRule>
    <cfRule type="expression" dxfId="2598" priority="86">
      <formula>AND($N98 = 0 * ISNUMBER($N98))</formula>
    </cfRule>
    <cfRule type="expression" dxfId="2597" priority="87">
      <formula>AND($N98 &lt; 0, ISNUMBER($N98))</formula>
    </cfRule>
  </conditionalFormatting>
  <conditionalFormatting sqref="A98:F117">
    <cfRule type="expression" dxfId="2596" priority="94">
      <formula>AND($E98 &gt; 0, ISNUMBER($E98))</formula>
    </cfRule>
    <cfRule type="expression" dxfId="2595" priority="95">
      <formula>AND($E98 = 0 * ISNUMBER($E98))</formula>
    </cfRule>
    <cfRule type="expression" dxfId="2594" priority="96">
      <formula>AND($E98 &lt; 0, ISNUMBER($E98))</formula>
    </cfRule>
  </conditionalFormatting>
  <conditionalFormatting sqref="A98:C117 G98:I117">
    <cfRule type="expression" dxfId="2593" priority="91">
      <formula>AND($H98 &gt; 0, ISNUMBER($H98))</formula>
    </cfRule>
    <cfRule type="expression" dxfId="2592" priority="92">
      <formula>AND($H98 = 0 * ISNUMBER($H98))</formula>
    </cfRule>
    <cfRule type="expression" dxfId="2591" priority="93">
      <formula>AND($H98 &lt; 0, ISNUMBER($H98))</formula>
    </cfRule>
  </conditionalFormatting>
  <conditionalFormatting sqref="A98:C117 J98:L117">
    <cfRule type="expression" dxfId="2590" priority="88">
      <formula>AND($K98 &gt; 0, ISNUMBER($K98))</formula>
    </cfRule>
    <cfRule type="expression" dxfId="2589" priority="89">
      <formula>AND($K98 = 0 * ISNUMBER($K98))</formula>
    </cfRule>
    <cfRule type="expression" dxfId="2588" priority="90">
      <formula>AND($K98 &lt; 0, ISNUMBER($K98))</formula>
    </cfRule>
  </conditionalFormatting>
  <conditionalFormatting sqref="D96:F97 E118:F118">
    <cfRule type="expression" dxfId="2587" priority="82">
      <formula>$E$118 &gt; 0</formula>
    </cfRule>
    <cfRule type="expression" dxfId="2586" priority="83">
      <formula>$E$118 = 0</formula>
    </cfRule>
    <cfRule type="expression" dxfId="2585" priority="84">
      <formula>$E$118 &lt; 0</formula>
    </cfRule>
  </conditionalFormatting>
  <conditionalFormatting sqref="G96:I97 H118:I118">
    <cfRule type="expression" dxfId="2584" priority="79">
      <formula>$H$118 &gt; 0</formula>
    </cfRule>
    <cfRule type="expression" dxfId="2583" priority="80">
      <formula>$H$118 = 0</formula>
    </cfRule>
    <cfRule type="expression" dxfId="2582" priority="81">
      <formula>$H$118 &lt; 0</formula>
    </cfRule>
  </conditionalFormatting>
  <conditionalFormatting sqref="J96:L97 K118:L118">
    <cfRule type="expression" dxfId="2581" priority="76">
      <formula>$K$118 &gt; 0</formula>
    </cfRule>
    <cfRule type="expression" dxfId="2580" priority="77">
      <formula>$K$118 = 0</formula>
    </cfRule>
    <cfRule type="expression" dxfId="2579" priority="78">
      <formula>$K$118 &lt; 0</formula>
    </cfRule>
  </conditionalFormatting>
  <conditionalFormatting sqref="M96:O97 N118:O118">
    <cfRule type="expression" dxfId="2578" priority="73">
      <formula>$N$118 &gt; 0</formula>
    </cfRule>
    <cfRule type="expression" dxfId="2577" priority="74">
      <formula>$N$118 = 0</formula>
    </cfRule>
    <cfRule type="expression" dxfId="2576" priority="75">
      <formula>$N$118 &lt; 0</formula>
    </cfRule>
  </conditionalFormatting>
  <conditionalFormatting sqref="A125:C144 M125:O144">
    <cfRule type="expression" dxfId="2575" priority="61">
      <formula>AND($N125 &gt; 0, ISNUMBER($N125))</formula>
    </cfRule>
    <cfRule type="expression" dxfId="2574" priority="62">
      <formula>AND($N125 = 0 * ISNUMBER($N125))</formula>
    </cfRule>
    <cfRule type="expression" dxfId="2573" priority="63">
      <formula>AND($N125 &lt; 0, ISNUMBER($N125))</formula>
    </cfRule>
  </conditionalFormatting>
  <conditionalFormatting sqref="A125:F144">
    <cfRule type="expression" dxfId="2572" priority="70">
      <formula>AND($E125 &gt; 0, ISNUMBER($E125))</formula>
    </cfRule>
    <cfRule type="expression" dxfId="2571" priority="71">
      <formula>AND($E125 = 0 * ISNUMBER($E125))</formula>
    </cfRule>
    <cfRule type="expression" dxfId="2570" priority="72">
      <formula>AND($E125 &lt; 0, ISNUMBER($E125))</formula>
    </cfRule>
  </conditionalFormatting>
  <conditionalFormatting sqref="A125:C144 G125:I144">
    <cfRule type="expression" dxfId="2569" priority="67">
      <formula>AND($H125 &gt; 0, ISNUMBER($H125))</formula>
    </cfRule>
    <cfRule type="expression" dxfId="2568" priority="68">
      <formula>AND($H125 = 0 * ISNUMBER($H125))</formula>
    </cfRule>
    <cfRule type="expression" dxfId="2567" priority="69">
      <formula>AND($H125 &lt; 0, ISNUMBER($H125))</formula>
    </cfRule>
  </conditionalFormatting>
  <conditionalFormatting sqref="A125:C144 J125:L144">
    <cfRule type="expression" dxfId="2566" priority="64">
      <formula>AND($K125 &gt; 0, ISNUMBER($K125))</formula>
    </cfRule>
    <cfRule type="expression" dxfId="2565" priority="65">
      <formula>AND($K125 = 0 * ISNUMBER($K125))</formula>
    </cfRule>
    <cfRule type="expression" dxfId="2564" priority="66">
      <formula>AND($K125 &lt; 0, ISNUMBER($K125))</formula>
    </cfRule>
  </conditionalFormatting>
  <conditionalFormatting sqref="D123:F124 E145:F145">
    <cfRule type="expression" dxfId="2563" priority="58">
      <formula>$E$145 &gt; 0</formula>
    </cfRule>
    <cfRule type="expression" dxfId="2562" priority="59">
      <formula>$E$145 = 0</formula>
    </cfRule>
    <cfRule type="expression" dxfId="2561" priority="60">
      <formula>$E$145 &lt; 0</formula>
    </cfRule>
  </conditionalFormatting>
  <conditionalFormatting sqref="G123:I124 H145:I145">
    <cfRule type="expression" dxfId="2560" priority="55">
      <formula>$H$145 &gt; 0</formula>
    </cfRule>
    <cfRule type="expression" dxfId="2559" priority="56">
      <formula>$H$145 = 0</formula>
    </cfRule>
    <cfRule type="expression" dxfId="2558" priority="57">
      <formula>$H$145 &lt; 0</formula>
    </cfRule>
  </conditionalFormatting>
  <conditionalFormatting sqref="J123:L124 K145:L145">
    <cfRule type="expression" dxfId="2557" priority="52">
      <formula>$K$145 &gt; 0</formula>
    </cfRule>
    <cfRule type="expression" dxfId="2556" priority="53">
      <formula>$K$145 = 0</formula>
    </cfRule>
    <cfRule type="expression" dxfId="2555" priority="54">
      <formula>$K$145 &lt; 0</formula>
    </cfRule>
  </conditionalFormatting>
  <conditionalFormatting sqref="M123:O124 N145:O145">
    <cfRule type="expression" dxfId="2554" priority="49">
      <formula>$N$145 &gt; 0</formula>
    </cfRule>
    <cfRule type="expression" dxfId="2553" priority="50">
      <formula>$N$145 = 0</formula>
    </cfRule>
    <cfRule type="expression" dxfId="2552" priority="51">
      <formula>$N$145 &lt; 0</formula>
    </cfRule>
  </conditionalFormatting>
  <conditionalFormatting sqref="A152:C171 M152:O171">
    <cfRule type="expression" dxfId="2551" priority="37">
      <formula>AND($N152 &gt; 0, ISNUMBER($N152))</formula>
    </cfRule>
    <cfRule type="expression" dxfId="2550" priority="38">
      <formula>AND($N152 = 0 * ISNUMBER($N152))</formula>
    </cfRule>
    <cfRule type="expression" dxfId="2549" priority="39">
      <formula>AND($N152 &lt; 0, ISNUMBER($N152))</formula>
    </cfRule>
  </conditionalFormatting>
  <conditionalFormatting sqref="A152:F171">
    <cfRule type="expression" dxfId="2548" priority="46">
      <formula>AND($E152 &gt; 0, ISNUMBER($E152))</formula>
    </cfRule>
    <cfRule type="expression" dxfId="2547" priority="47">
      <formula>AND($E152 = 0 * ISNUMBER($E152))</formula>
    </cfRule>
    <cfRule type="expression" dxfId="2546" priority="48">
      <formula>AND($E152 &lt; 0, ISNUMBER($E152))</formula>
    </cfRule>
  </conditionalFormatting>
  <conditionalFormatting sqref="A152:C171 G152:I171">
    <cfRule type="expression" dxfId="2545" priority="43">
      <formula>AND($H152 &gt; 0, ISNUMBER($H152))</formula>
    </cfRule>
    <cfRule type="expression" dxfId="2544" priority="44">
      <formula>AND($H152 = 0 * ISNUMBER($H152))</formula>
    </cfRule>
    <cfRule type="expression" dxfId="2543" priority="45">
      <formula>AND($H152 &lt; 0, ISNUMBER($H152))</formula>
    </cfRule>
  </conditionalFormatting>
  <conditionalFormatting sqref="A152:C171 J152:L171">
    <cfRule type="expression" dxfId="2542" priority="40">
      <formula>AND($K152 &gt; 0, ISNUMBER($K152))</formula>
    </cfRule>
    <cfRule type="expression" dxfId="2541" priority="41">
      <formula>AND($K152 = 0 * ISNUMBER($K152))</formula>
    </cfRule>
    <cfRule type="expression" dxfId="2540" priority="42">
      <formula>AND($K152 &lt; 0, ISNUMBER($K152))</formula>
    </cfRule>
  </conditionalFormatting>
  <conditionalFormatting sqref="D150:F151 E172:F172">
    <cfRule type="expression" dxfId="2539" priority="34">
      <formula>$E$172 &gt; 0</formula>
    </cfRule>
    <cfRule type="expression" dxfId="2538" priority="35">
      <formula>$E$172 = 0</formula>
    </cfRule>
    <cfRule type="expression" dxfId="2537" priority="36">
      <formula>$E$172 &lt; 0</formula>
    </cfRule>
  </conditionalFormatting>
  <conditionalFormatting sqref="G150:I151 H172:I172">
    <cfRule type="expression" dxfId="2536" priority="31">
      <formula>$H$172 &gt; 0</formula>
    </cfRule>
    <cfRule type="expression" dxfId="2535" priority="32">
      <formula>$H$172 = 0</formula>
    </cfRule>
    <cfRule type="expression" dxfId="2534" priority="33">
      <formula>$H$172 &lt; 0</formula>
    </cfRule>
  </conditionalFormatting>
  <conditionalFormatting sqref="J150:L151 K172:L172">
    <cfRule type="expression" dxfId="2533" priority="28">
      <formula>$K$172 &gt; 0</formula>
    </cfRule>
    <cfRule type="expression" dxfId="2532" priority="29">
      <formula>$K$172 = 0</formula>
    </cfRule>
    <cfRule type="expression" dxfId="2531" priority="30">
      <formula>$K$172 &lt; 0</formula>
    </cfRule>
  </conditionalFormatting>
  <conditionalFormatting sqref="M150:O151 N172:O172">
    <cfRule type="expression" dxfId="2530" priority="25">
      <formula>$N$172 &gt; 0</formula>
    </cfRule>
    <cfRule type="expression" dxfId="2529" priority="26">
      <formula>$N$172 = 0</formula>
    </cfRule>
    <cfRule type="expression" dxfId="2528" priority="27">
      <formula>$N$172 &lt; 0</formula>
    </cfRule>
  </conditionalFormatting>
  <conditionalFormatting sqref="A179:C198 M179:O198">
    <cfRule type="expression" dxfId="2527" priority="13">
      <formula>AND($N179 &gt; 0, ISNUMBER($N179))</formula>
    </cfRule>
    <cfRule type="expression" dxfId="2526" priority="14">
      <formula>AND($N179 = 0 * ISNUMBER($N179))</formula>
    </cfRule>
    <cfRule type="expression" dxfId="2525" priority="15">
      <formula>AND($N179 &lt; 0, ISNUMBER($N179))</formula>
    </cfRule>
  </conditionalFormatting>
  <conditionalFormatting sqref="A179:F198">
    <cfRule type="expression" dxfId="2524" priority="22">
      <formula>AND($E179 &gt; 0, ISNUMBER($E179))</formula>
    </cfRule>
    <cfRule type="expression" dxfId="2523" priority="23">
      <formula>AND($E179 = 0 * ISNUMBER($E179))</formula>
    </cfRule>
    <cfRule type="expression" dxfId="2522" priority="24">
      <formula>AND($E179 &lt; 0, ISNUMBER($E179))</formula>
    </cfRule>
  </conditionalFormatting>
  <conditionalFormatting sqref="A179:C198 G179:I198">
    <cfRule type="expression" dxfId="2521" priority="19">
      <formula>AND($H179 &gt; 0, ISNUMBER($H179))</formula>
    </cfRule>
    <cfRule type="expression" dxfId="2520" priority="20">
      <formula>AND($H179 = 0 * ISNUMBER($H179))</formula>
    </cfRule>
    <cfRule type="expression" dxfId="2519" priority="21">
      <formula>AND($H179 &lt; 0, ISNUMBER($H179))</formula>
    </cfRule>
  </conditionalFormatting>
  <conditionalFormatting sqref="A179:C198 J179:L198">
    <cfRule type="expression" dxfId="2518" priority="16">
      <formula>AND($K179 &gt; 0, ISNUMBER($K179))</formula>
    </cfRule>
    <cfRule type="expression" dxfId="2517" priority="17">
      <formula>AND($K179 = 0 * ISNUMBER($K179))</formula>
    </cfRule>
    <cfRule type="expression" dxfId="2516" priority="18">
      <formula>AND($K179 &lt; 0, ISNUMBER($K179))</formula>
    </cfRule>
  </conditionalFormatting>
  <conditionalFormatting sqref="D177:F178 E199:F199">
    <cfRule type="expression" dxfId="2515" priority="10">
      <formula>$E$199 &gt; 0</formula>
    </cfRule>
    <cfRule type="expression" dxfId="2514" priority="11">
      <formula>$E$199 = 0</formula>
    </cfRule>
    <cfRule type="expression" dxfId="2513" priority="12">
      <formula>$E$199 &lt; 0</formula>
    </cfRule>
  </conditionalFormatting>
  <conditionalFormatting sqref="G177:I178 H199:I199">
    <cfRule type="expression" dxfId="2512" priority="7">
      <formula>$H$199 &gt; 0</formula>
    </cfRule>
    <cfRule type="expression" dxfId="2511" priority="8">
      <formula>$H$199 = 0</formula>
    </cfRule>
    <cfRule type="expression" dxfId="2510" priority="9">
      <formula>$H$199 &lt; 0</formula>
    </cfRule>
  </conditionalFormatting>
  <conditionalFormatting sqref="J177:L178 K199:L199">
    <cfRule type="expression" dxfId="2509" priority="4">
      <formula>$K$199 &gt; 0</formula>
    </cfRule>
    <cfRule type="expression" dxfId="2508" priority="5">
      <formula>$K$199 = 0</formula>
    </cfRule>
    <cfRule type="expression" dxfId="2507" priority="6">
      <formula>$K$199 &lt; 0</formula>
    </cfRule>
  </conditionalFormatting>
  <conditionalFormatting sqref="M177:O178 N199:O199">
    <cfRule type="expression" dxfId="2506" priority="1">
      <formula>$N$199 &gt; 0</formula>
    </cfRule>
    <cfRule type="expression" dxfId="2505" priority="2">
      <formula>$N$199 = 0</formula>
    </cfRule>
    <cfRule type="expression" dxfId="250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4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7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2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6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1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6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1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A4715-34FA-4FAE-ADB4-C28CDF86A545}">
  <sheetPr codeName="Sheet7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9" t="s">
        <v>0</v>
      </c>
      <c r="B1" s="250"/>
      <c r="C1" s="250"/>
      <c r="D1" s="250"/>
      <c r="E1" s="250"/>
      <c r="F1" s="251"/>
      <c r="G1" s="252">
        <v>44319</v>
      </c>
      <c r="H1" s="253"/>
      <c r="I1" s="254"/>
      <c r="J1" s="249" t="s">
        <v>1</v>
      </c>
      <c r="K1" s="250"/>
      <c r="L1" s="250"/>
      <c r="M1" s="250"/>
      <c r="N1" s="250"/>
      <c r="O1" s="251"/>
      <c r="Q1" s="249" t="s">
        <v>2</v>
      </c>
      <c r="R1" s="251"/>
    </row>
    <row r="2" spans="1:19" ht="17.25" customHeight="1">
      <c r="A2" s="1" t="s">
        <v>3</v>
      </c>
      <c r="B2" s="255" t="s">
        <v>4</v>
      </c>
      <c r="C2" s="256"/>
      <c r="D2" s="256"/>
      <c r="E2" s="256"/>
      <c r="F2" s="257"/>
      <c r="G2" s="258" t="s">
        <v>46</v>
      </c>
      <c r="H2" s="259"/>
      <c r="I2" s="260"/>
      <c r="J2" s="1" t="s">
        <v>3</v>
      </c>
      <c r="K2" s="255" t="s">
        <v>5</v>
      </c>
      <c r="L2" s="256"/>
      <c r="M2" s="256"/>
      <c r="N2" s="256"/>
      <c r="O2" s="257"/>
      <c r="Q2" s="2" t="s">
        <v>6</v>
      </c>
      <c r="R2" s="3">
        <v>0.375</v>
      </c>
    </row>
    <row r="3" spans="1:19" ht="17.25" customHeight="1" thickBot="1">
      <c r="A3" s="4" t="s">
        <v>7</v>
      </c>
      <c r="B3" s="261" t="s">
        <v>8</v>
      </c>
      <c r="C3" s="262"/>
      <c r="D3" s="262"/>
      <c r="E3" s="262"/>
      <c r="F3" s="263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270,159 KRW (4.50%)</v>
      </c>
      <c r="H3" s="265"/>
      <c r="I3" s="266"/>
      <c r="J3" s="4" t="s">
        <v>7</v>
      </c>
      <c r="K3" s="261" t="s">
        <v>9</v>
      </c>
      <c r="L3" s="262"/>
      <c r="M3" s="262"/>
      <c r="N3" s="262"/>
      <c r="O3" s="263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61" t="s">
        <v>12</v>
      </c>
      <c r="C4" s="262"/>
      <c r="D4" s="262"/>
      <c r="E4" s="262"/>
      <c r="F4" s="263"/>
      <c r="G4" s="258" t="s">
        <v>44</v>
      </c>
      <c r="H4" s="259"/>
      <c r="I4" s="260"/>
      <c r="J4" s="4" t="s">
        <v>11</v>
      </c>
      <c r="K4" s="261" t="s">
        <v>13</v>
      </c>
      <c r="L4" s="262"/>
      <c r="M4" s="262"/>
      <c r="N4" s="262"/>
      <c r="O4" s="263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261" t="s">
        <v>16</v>
      </c>
      <c r="C5" s="262"/>
      <c r="D5" s="262"/>
      <c r="E5" s="262"/>
      <c r="F5" s="263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199,398 KRW (3.69%)</v>
      </c>
      <c r="H5" s="265"/>
      <c r="I5" s="266"/>
      <c r="J5" s="4" t="s">
        <v>15</v>
      </c>
      <c r="K5" s="261" t="s">
        <v>17</v>
      </c>
      <c r="L5" s="262"/>
      <c r="M5" s="262"/>
      <c r="N5" s="262"/>
      <c r="O5" s="263"/>
    </row>
    <row r="6" spans="1:19">
      <c r="A6" s="4" t="s">
        <v>18</v>
      </c>
      <c r="B6" s="261" t="s">
        <v>19</v>
      </c>
      <c r="C6" s="262"/>
      <c r="D6" s="262"/>
      <c r="E6" s="262"/>
      <c r="F6" s="263"/>
      <c r="G6" s="258" t="s">
        <v>45</v>
      </c>
      <c r="H6" s="259"/>
      <c r="I6" s="260"/>
      <c r="J6" s="4" t="s">
        <v>18</v>
      </c>
      <c r="K6" s="261" t="s">
        <v>20</v>
      </c>
      <c r="L6" s="262"/>
      <c r="M6" s="262"/>
      <c r="N6" s="262"/>
      <c r="O6" s="263"/>
    </row>
    <row r="7" spans="1:19" ht="17.25" thickBot="1">
      <c r="A7" s="4" t="s">
        <v>21</v>
      </c>
      <c r="B7" s="261" t="s">
        <v>22</v>
      </c>
      <c r="C7" s="262"/>
      <c r="D7" s="262"/>
      <c r="E7" s="262"/>
      <c r="F7" s="263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195,462 KRW (3.26%)</v>
      </c>
      <c r="H7" s="265"/>
      <c r="I7" s="266"/>
      <c r="J7" s="4" t="s">
        <v>21</v>
      </c>
      <c r="K7" s="261" t="s">
        <v>23</v>
      </c>
      <c r="L7" s="262"/>
      <c r="M7" s="262"/>
      <c r="N7" s="262"/>
      <c r="O7" s="263"/>
    </row>
    <row r="8" spans="1:19" ht="17.25" thickBot="1">
      <c r="A8" s="4" t="s">
        <v>24</v>
      </c>
      <c r="B8" s="261" t="s">
        <v>25</v>
      </c>
      <c r="C8" s="262"/>
      <c r="D8" s="262"/>
      <c r="E8" s="262"/>
      <c r="F8" s="263"/>
      <c r="G8" s="258" t="s">
        <v>285</v>
      </c>
      <c r="H8" s="259"/>
      <c r="I8" s="260"/>
      <c r="J8" s="4" t="s">
        <v>24</v>
      </c>
      <c r="K8" s="261" t="s">
        <v>26</v>
      </c>
      <c r="L8" s="262"/>
      <c r="M8" s="262"/>
      <c r="N8" s="262"/>
      <c r="O8" s="263"/>
      <c r="Q8" s="249" t="s">
        <v>27</v>
      </c>
      <c r="R8" s="251"/>
    </row>
    <row r="9" spans="1:19" ht="17.25" thickBot="1">
      <c r="A9" s="4" t="s">
        <v>28</v>
      </c>
      <c r="B9" s="261"/>
      <c r="C9" s="262"/>
      <c r="D9" s="262"/>
      <c r="E9" s="262"/>
      <c r="F9" s="263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130,558 KRW (2.18%)</v>
      </c>
      <c r="H9" s="265"/>
      <c r="I9" s="266"/>
      <c r="J9" s="4" t="s">
        <v>28</v>
      </c>
      <c r="K9" s="261" t="s">
        <v>293</v>
      </c>
      <c r="L9" s="262"/>
      <c r="M9" s="262"/>
      <c r="N9" s="262"/>
      <c r="O9" s="263"/>
      <c r="Q9" s="2" t="s">
        <v>29</v>
      </c>
      <c r="R9" s="6">
        <v>10</v>
      </c>
    </row>
    <row r="10" spans="1:19">
      <c r="A10" s="4" t="s">
        <v>30</v>
      </c>
      <c r="B10" s="261"/>
      <c r="C10" s="262"/>
      <c r="D10" s="262"/>
      <c r="E10" s="262"/>
      <c r="F10" s="263"/>
      <c r="G10" s="258" t="s">
        <v>47</v>
      </c>
      <c r="H10" s="259"/>
      <c r="I10" s="260"/>
      <c r="J10" s="4" t="s">
        <v>30</v>
      </c>
      <c r="K10" s="261"/>
      <c r="L10" s="262"/>
      <c r="M10" s="262"/>
      <c r="N10" s="262"/>
      <c r="O10" s="263"/>
      <c r="Q10" s="2" t="s">
        <v>31</v>
      </c>
      <c r="R10" s="6">
        <v>100</v>
      </c>
    </row>
    <row r="11" spans="1:19" ht="17.25" thickBot="1">
      <c r="A11" s="7" t="s">
        <v>32</v>
      </c>
      <c r="B11" s="267"/>
      <c r="C11" s="268"/>
      <c r="D11" s="268"/>
      <c r="E11" s="268"/>
      <c r="F11" s="269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59,668 KRW (3.98%)</v>
      </c>
      <c r="H11" s="265"/>
      <c r="I11" s="266"/>
      <c r="J11" s="7" t="s">
        <v>32</v>
      </c>
      <c r="K11" s="267"/>
      <c r="L11" s="268"/>
      <c r="M11" s="268"/>
      <c r="N11" s="268"/>
      <c r="O11" s="269"/>
      <c r="Q11" s="61" t="s">
        <v>33</v>
      </c>
      <c r="R11" s="8">
        <v>1000</v>
      </c>
    </row>
    <row r="12" spans="1:19" ht="17.25" thickBot="1"/>
    <row r="13" spans="1:19" ht="17.25" customHeight="1" thickBot="1">
      <c r="A13" s="249" t="s">
        <v>34</v>
      </c>
      <c r="B13" s="250"/>
      <c r="C13" s="250"/>
      <c r="D13" s="250"/>
      <c r="E13" s="250"/>
      <c r="F13" s="250"/>
      <c r="G13" s="250"/>
      <c r="H13" s="250"/>
      <c r="I13" s="250"/>
      <c r="J13" s="250"/>
      <c r="K13" s="250"/>
      <c r="L13" s="250"/>
      <c r="M13" s="250"/>
      <c r="N13" s="250"/>
      <c r="O13" s="251"/>
      <c r="Q13" s="270"/>
      <c r="R13" s="270"/>
      <c r="S13" s="270"/>
    </row>
    <row r="14" spans="1:19" ht="17.25" customHeight="1" thickBot="1">
      <c r="A14" s="107" t="s">
        <v>35</v>
      </c>
      <c r="B14" s="249" t="s">
        <v>36</v>
      </c>
      <c r="C14" s="251"/>
      <c r="D14" s="249" t="s">
        <v>37</v>
      </c>
      <c r="E14" s="250"/>
      <c r="F14" s="251"/>
      <c r="G14" s="276">
        <f>_xlfn.IFNA(VLOOKUP(B14, 현재가테이블!$B$2:$D$200, 2, FALSE), "-")</f>
        <v>60874000</v>
      </c>
      <c r="H14" s="277"/>
      <c r="I14" s="278"/>
      <c r="J14" s="249" t="s">
        <v>38</v>
      </c>
      <c r="K14" s="250"/>
      <c r="L14" s="251"/>
      <c r="M14" s="279">
        <f>_xlfn.IFNA(VLOOKUP(B14, 현재가테이블!$B$2:$D$200, 3, FALSE), "-")</f>
        <v>-1.4936000099999999E-2</v>
      </c>
      <c r="N14" s="280"/>
      <c r="O14" s="281"/>
      <c r="Q14" s="270"/>
      <c r="R14" s="270"/>
      <c r="S14" s="270"/>
    </row>
    <row r="15" spans="1:19" ht="17.25" customHeight="1" thickBot="1">
      <c r="A15" s="271" t="s">
        <v>39</v>
      </c>
      <c r="B15" s="282" t="str">
        <f>TEXT($G$1, "[$-ko-KR]yyyy-mm-dd(ddd) ") &amp; "오전 00:00"</f>
        <v>2021-05-03(월) 오전 00:00</v>
      </c>
      <c r="C15" s="283"/>
      <c r="D15" s="272" t="str">
        <f>TEXT($G$1, "[$-ko-KR]yyyy-mm-dd(ddd) ") &amp; "오후 14:00"</f>
        <v>2021-05-03(월) 오후 14:00</v>
      </c>
      <c r="E15" s="273"/>
      <c r="F15" s="274"/>
      <c r="G15" s="272" t="str">
        <f>TEXT($G$1, "[$-ko-KR]yyyy-mm-dd(ddd) ") &amp; "오후 19:00"</f>
        <v>2021-05-03(월) 오후 19:00</v>
      </c>
      <c r="H15" s="273"/>
      <c r="I15" s="274"/>
      <c r="J15" s="272" t="str">
        <f>TEXT($G$1, "[$-ko-KR]yyyy-mm-dd(ddd) ") &amp; "오후 21:00"</f>
        <v>2021-05-03(월) 오후 21:00</v>
      </c>
      <c r="K15" s="273"/>
      <c r="L15" s="274"/>
      <c r="M15" s="272" t="str">
        <f>TEXT($G$1+1, "[$-ko-KR]yyyy-mm-dd(ddd) ") &amp; "오전 00:00"</f>
        <v>2021-05-04(화) 오전 00:00</v>
      </c>
      <c r="N15" s="273"/>
      <c r="O15" s="274"/>
      <c r="Q15" s="270"/>
      <c r="R15" s="270"/>
      <c r="S15" s="270"/>
    </row>
    <row r="16" spans="1:19" ht="17.25" customHeight="1" thickBot="1">
      <c r="A16" s="271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75"/>
      <c r="R16" s="275"/>
      <c r="S16" s="275"/>
    </row>
    <row r="17" spans="1:19" ht="17.25" customHeight="1" thickBot="1">
      <c r="A17" s="12" t="s">
        <v>136</v>
      </c>
      <c r="B17" s="13">
        <f>IF(NOT(ISBLANK(_xlfn.IFNA(VLOOKUP($A17, $A$40:$O$199, 2, FALSE), ))), _xlfn.IFNA(VLOOKUP($A17, $A$40:$O$199, 2, FALSE), ), "")</f>
        <v>246</v>
      </c>
      <c r="C17" s="14">
        <f>IF(NOT(ISBLANK(_xlfn.IFNA(VLOOKUP($A17, $A$40:$O$199, 3, FALSE), ))), _xlfn.IFNA(VLOOKUP($A17, $A$40:$O$199, 3, FALSE), ), "")</f>
        <v>-1.9920318699999998E-2</v>
      </c>
      <c r="D17" s="13">
        <f>IF(NOT(ISBLANK(_xlfn.IFNA(VLOOKUP($A17, $A$40:$O$199, 4, FALSE), ))), _xlfn.IFNA(VLOOKUP($A17, $A$40:$O$199, 4, FALSE), ), "")</f>
        <v>247</v>
      </c>
      <c r="E17" s="14">
        <f>IF(NOT(ISBLANK(_xlfn.IFNA(VLOOKUP($A17, $A$40:$O$199, 5, FALSE), ))), _xlfn.IFNA(VLOOKUP($A17, $A$40:$O$199, 5, FALSE), ), "")</f>
        <v>4.0650406504065045E-3</v>
      </c>
      <c r="F17" s="16">
        <f>IF(NOT(ISBLANK(_xlfn.IFNA(VLOOKUP($A17, $A$40:$O$199, 6, FALSE), ))), _xlfn.IFNA(VLOOKUP($A17, $A$40:$O$199, 6, FALSE), ), "")</f>
        <v>1219.5121951219514</v>
      </c>
      <c r="G17" s="29">
        <f>IF(NOT(ISBLANK(_xlfn.IFNA(VLOOKUP($A17, $A$40:$O$199, 7, FALSE), ))), _xlfn.IFNA(VLOOKUP($A17, $A$40:$O$199, 7, FALSE), ), "")</f>
        <v>258</v>
      </c>
      <c r="H17" s="14">
        <f>IF(NOT(ISBLANK(_xlfn.IFNA(VLOOKUP($A17, $A$40:$O$199, 8, FALSE), ))), _xlfn.IFNA(VLOOKUP($A17, $A$40:$O$199, 8, FALSE), ), "")</f>
        <v>4.878048780487805E-2</v>
      </c>
      <c r="I17" s="96">
        <f>IF(NOT(ISBLANK(_xlfn.IFNA(VLOOKUP($A17, $A$40:$O$199, 9, FALSE), ))), _xlfn.IFNA(VLOOKUP($A17, $A$40:$O$199, 9, FALSE), ), "")</f>
        <v>14634.146341463415</v>
      </c>
      <c r="J17" s="13">
        <f>IF(NOT(ISBLANK(_xlfn.IFNA(VLOOKUP($A17, $A$40:$O$199, 10, FALSE), ))), _xlfn.IFNA(VLOOKUP($A17, $A$40:$O$199, 10, FALSE), ), "")</f>
        <v>260</v>
      </c>
      <c r="K17" s="14">
        <f>IF(NOT(ISBLANK(_xlfn.IFNA(VLOOKUP($A17, $A$40:$O$199, 11, FALSE), ))), _xlfn.IFNA(VLOOKUP($A17, $A$40:$O$199, 11, FALSE), ), "")</f>
        <v>5.6910569105691054E-2</v>
      </c>
      <c r="L17" s="16">
        <f>IF(NOT(ISBLANK(_xlfn.IFNA(VLOOKUP($A17, $A$40:$O$199, 12, FALSE), ))), _xlfn.IFNA(VLOOKUP($A17, $A$40:$O$199, 12, FALSE), ), "")</f>
        <v>17073.170731707316</v>
      </c>
      <c r="M17" s="29">
        <f>IF(NOT(ISBLANK(_xlfn.IFNA(VLOOKUP($A17, $A$40:$O$199, 13, FALSE), ))), _xlfn.IFNA(VLOOKUP($A17, $A$40:$O$199, 13, FALSE), ), "")</f>
        <v>269</v>
      </c>
      <c r="N17" s="14">
        <f>IF(NOT(ISBLANK(_xlfn.IFNA(VLOOKUP($A17, $A$40:$O$199, 14, FALSE), ))), _xlfn.IFNA(VLOOKUP($A17, $A$40:$O$199, 14, FALSE), ), "")</f>
        <v>9.3495934959349589E-2</v>
      </c>
      <c r="O17" s="16">
        <f>IF(NOT(ISBLANK(_xlfn.IFNA(VLOOKUP($A17, $A$40:$O$199, 15, FALSE), ))), _xlfn.IFNA(VLOOKUP($A17, $A$40:$O$199, 15, FALSE), ), "")</f>
        <v>28048.780487804877</v>
      </c>
      <c r="Q17" s="270"/>
      <c r="R17" s="270"/>
      <c r="S17" s="270"/>
    </row>
    <row r="18" spans="1:19" ht="17.25" customHeight="1" thickBot="1">
      <c r="A18" s="17" t="s">
        <v>216</v>
      </c>
      <c r="B18" s="15">
        <f t="shared" ref="B18:B36" si="0">IF(NOT(ISBLANK(_xlfn.IFNA(VLOOKUP($A18, $A$40:$O$199, 2, FALSE), ))), _xlfn.IFNA(VLOOKUP($A18, $A$40:$O$199, 2, FALSE), ), "")</f>
        <v>477</v>
      </c>
      <c r="C18" s="32">
        <f t="shared" ref="C18:C36" si="1">IF(NOT(ISBLANK(_xlfn.IFNA(VLOOKUP($A18, $A$40:$O$199, 3, FALSE), ))), _xlfn.IFNA(VLOOKUP($A18, $A$40:$O$199, 3, FALSE), ), "")</f>
        <v>-2.0533880899999999E-2</v>
      </c>
      <c r="D18" s="15">
        <f t="shared" ref="D18:D36" si="2">IF(NOT(ISBLANK(_xlfn.IFNA(VLOOKUP($A18, $A$40:$O$199, 4, FALSE), ))), _xlfn.IFNA(VLOOKUP($A18, $A$40:$O$199, 4, FALSE), ), "")</f>
        <v>490</v>
      </c>
      <c r="E18" s="32">
        <f t="shared" ref="E18:E36" si="3">IF(NOT(ISBLANK(_xlfn.IFNA(VLOOKUP($A18, $A$40:$O$199, 5, FALSE), ))), _xlfn.IFNA(VLOOKUP($A18, $A$40:$O$199, 5, FALSE), ), "")</f>
        <v>2.7253668763102725E-2</v>
      </c>
      <c r="F18" s="18">
        <f t="shared" ref="F18:F36" si="4">IF(NOT(ISBLANK(_xlfn.IFNA(VLOOKUP($A18, $A$40:$O$199, 6, FALSE), ))), _xlfn.IFNA(VLOOKUP($A18, $A$40:$O$199, 6, FALSE), ), "")</f>
        <v>8176.1006289308179</v>
      </c>
      <c r="G18" s="31">
        <f t="shared" ref="G18:G36" si="5">IF(NOT(ISBLANK(_xlfn.IFNA(VLOOKUP($A18, $A$40:$O$199, 7, FALSE), ))), _xlfn.IFNA(VLOOKUP($A18, $A$40:$O$199, 7, FALSE), ), "")</f>
        <v>497</v>
      </c>
      <c r="H18" s="32">
        <f t="shared" ref="H18:H36" si="6">IF(NOT(ISBLANK(_xlfn.IFNA(VLOOKUP($A18, $A$40:$O$199, 8, FALSE), ))), _xlfn.IFNA(VLOOKUP($A18, $A$40:$O$199, 8, FALSE), ), "")</f>
        <v>4.1928721174004195E-2</v>
      </c>
      <c r="I18" s="97">
        <f t="shared" ref="I18:I36" si="7">IF(NOT(ISBLANK(_xlfn.IFNA(VLOOKUP($A18, $A$40:$O$199, 9, FALSE), ))), _xlfn.IFNA(VLOOKUP($A18, $A$40:$O$199, 9, FALSE), ), "")</f>
        <v>12578.616352201259</v>
      </c>
      <c r="J18" s="15">
        <f t="shared" ref="J18:J36" si="8">IF(NOT(ISBLANK(_xlfn.IFNA(VLOOKUP($A18, $A$40:$O$199, 10, FALSE), ))), _xlfn.IFNA(VLOOKUP($A18, $A$40:$O$199, 10, FALSE), ), "")</f>
        <v>500</v>
      </c>
      <c r="K18" s="32">
        <f t="shared" ref="K18:K36" si="9">IF(NOT(ISBLANK(_xlfn.IFNA(VLOOKUP($A18, $A$40:$O$199, 11, FALSE), ))), _xlfn.IFNA(VLOOKUP($A18, $A$40:$O$199, 11, FALSE), ), "")</f>
        <v>4.8218029350104823E-2</v>
      </c>
      <c r="L18" s="18">
        <f t="shared" ref="L18:L36" si="10">IF(NOT(ISBLANK(_xlfn.IFNA(VLOOKUP($A18, $A$40:$O$199, 12, FALSE), ))), _xlfn.IFNA(VLOOKUP($A18, $A$40:$O$199, 12, FALSE), ), "")</f>
        <v>14465.408805031448</v>
      </c>
      <c r="M18" s="31">
        <f t="shared" ref="M18:M36" si="11">IF(NOT(ISBLANK(_xlfn.IFNA(VLOOKUP($A18, $A$40:$O$199, 13, FALSE), ))), _xlfn.IFNA(VLOOKUP($A18, $A$40:$O$199, 13, FALSE), ), "")</f>
        <v>492</v>
      </c>
      <c r="N18" s="32">
        <f t="shared" ref="N18:N36" si="12">IF(NOT(ISBLANK(_xlfn.IFNA(VLOOKUP($A18, $A$40:$O$199, 14, FALSE), ))), _xlfn.IFNA(VLOOKUP($A18, $A$40:$O$199, 14, FALSE), ), "")</f>
        <v>3.1446540880503145E-2</v>
      </c>
      <c r="O18" s="18">
        <f t="shared" ref="O18:O36" si="13">IF(NOT(ISBLANK(_xlfn.IFNA(VLOOKUP($A18, $A$40:$O$199, 15, FALSE), ))), _xlfn.IFNA(VLOOKUP($A18, $A$40:$O$199, 15, FALSE), ), "")</f>
        <v>9433.9622641509432</v>
      </c>
      <c r="Q18" s="270"/>
      <c r="R18" s="270"/>
      <c r="S18" s="270"/>
    </row>
    <row r="19" spans="1:19" ht="17.25" customHeight="1" thickBot="1">
      <c r="A19" s="17" t="s">
        <v>264</v>
      </c>
      <c r="B19" s="15">
        <f t="shared" si="0"/>
        <v>184</v>
      </c>
      <c r="C19" s="32">
        <f t="shared" si="1"/>
        <v>-2.1276595700000001E-2</v>
      </c>
      <c r="D19" s="15">
        <f t="shared" si="2"/>
        <v>191</v>
      </c>
      <c r="E19" s="32">
        <f t="shared" si="3"/>
        <v>3.8043478260869568E-2</v>
      </c>
      <c r="F19" s="18">
        <f t="shared" si="4"/>
        <v>11413.04347826087</v>
      </c>
      <c r="G19" s="31">
        <f t="shared" si="5"/>
        <v>196</v>
      </c>
      <c r="H19" s="32">
        <f t="shared" si="6"/>
        <v>6.5217391304347824E-2</v>
      </c>
      <c r="I19" s="97">
        <f t="shared" si="7"/>
        <v>19565.217391304348</v>
      </c>
      <c r="J19" s="15">
        <f t="shared" si="8"/>
        <v>197</v>
      </c>
      <c r="K19" s="32">
        <f t="shared" si="9"/>
        <v>7.0652173913043473E-2</v>
      </c>
      <c r="L19" s="18">
        <f t="shared" si="10"/>
        <v>21195.65217391304</v>
      </c>
      <c r="M19" s="31">
        <f t="shared" si="11"/>
        <v>193</v>
      </c>
      <c r="N19" s="32">
        <f t="shared" si="12"/>
        <v>4.8913043478260872E-2</v>
      </c>
      <c r="O19" s="18">
        <f t="shared" si="13"/>
        <v>14673.913043478262</v>
      </c>
      <c r="Q19" s="275"/>
      <c r="R19" s="275"/>
      <c r="S19" s="275"/>
    </row>
    <row r="20" spans="1:19" ht="17.25" customHeight="1" thickBot="1">
      <c r="A20" s="17" t="s">
        <v>57</v>
      </c>
      <c r="B20" s="15">
        <f t="shared" si="0"/>
        <v>410</v>
      </c>
      <c r="C20" s="32">
        <f t="shared" si="1"/>
        <v>-2.1479713599999999E-2</v>
      </c>
      <c r="D20" s="15">
        <f t="shared" si="2"/>
        <v>418</v>
      </c>
      <c r="E20" s="32">
        <f t="shared" si="3"/>
        <v>1.9512195121951219E-2</v>
      </c>
      <c r="F20" s="18">
        <f t="shared" si="4"/>
        <v>5853.6585365853662</v>
      </c>
      <c r="G20" s="31">
        <f t="shared" si="5"/>
        <v>426</v>
      </c>
      <c r="H20" s="32">
        <f t="shared" si="6"/>
        <v>3.9024390243902439E-2</v>
      </c>
      <c r="I20" s="97">
        <f t="shared" si="7"/>
        <v>11707.317073170732</v>
      </c>
      <c r="J20" s="15">
        <f t="shared" si="8"/>
        <v>425</v>
      </c>
      <c r="K20" s="32">
        <f t="shared" si="9"/>
        <v>3.6585365853658534E-2</v>
      </c>
      <c r="L20" s="18">
        <f t="shared" si="10"/>
        <v>10975.60975609756</v>
      </c>
      <c r="M20" s="31">
        <f t="shared" si="11"/>
        <v>418</v>
      </c>
      <c r="N20" s="32">
        <f t="shared" si="12"/>
        <v>1.9512195121951219E-2</v>
      </c>
      <c r="O20" s="18">
        <f t="shared" si="13"/>
        <v>5853.6585365853662</v>
      </c>
      <c r="Q20" s="275"/>
      <c r="R20" s="275"/>
      <c r="S20" s="275"/>
    </row>
    <row r="21" spans="1:19" ht="17.25" customHeight="1" thickBot="1">
      <c r="A21" s="19" t="s">
        <v>282</v>
      </c>
      <c r="B21" s="20">
        <f t="shared" si="0"/>
        <v>181</v>
      </c>
      <c r="C21" s="21">
        <f t="shared" si="1"/>
        <v>-2.1621621600000002E-2</v>
      </c>
      <c r="D21" s="20">
        <f t="shared" si="2"/>
        <v>179</v>
      </c>
      <c r="E21" s="21">
        <f t="shared" si="3"/>
        <v>-1.1049723756906077E-2</v>
      </c>
      <c r="F21" s="22">
        <f t="shared" si="4"/>
        <v>-3314.917127071823</v>
      </c>
      <c r="G21" s="30">
        <f t="shared" si="5"/>
        <v>182</v>
      </c>
      <c r="H21" s="21">
        <f t="shared" si="6"/>
        <v>5.5248618784530384E-3</v>
      </c>
      <c r="I21" s="101">
        <f t="shared" si="7"/>
        <v>1657.4585635359115</v>
      </c>
      <c r="J21" s="20">
        <f t="shared" si="8"/>
        <v>184</v>
      </c>
      <c r="K21" s="21">
        <f t="shared" si="9"/>
        <v>1.6574585635359115E-2</v>
      </c>
      <c r="L21" s="22">
        <f t="shared" si="10"/>
        <v>4972.3756906077342</v>
      </c>
      <c r="M21" s="30">
        <f t="shared" si="11"/>
        <v>182</v>
      </c>
      <c r="N21" s="21">
        <f t="shared" si="12"/>
        <v>5.5248618784530384E-3</v>
      </c>
      <c r="O21" s="22">
        <f t="shared" si="13"/>
        <v>1657.4585635359115</v>
      </c>
      <c r="Q21" s="275"/>
      <c r="R21" s="275"/>
      <c r="S21" s="275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75"/>
      <c r="R22" s="275"/>
      <c r="S22" s="275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5"/>
      <c r="R23" s="275"/>
      <c r="S23" s="275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5"/>
      <c r="R24" s="275"/>
      <c r="S24" s="275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84"/>
      <c r="R26" s="285"/>
      <c r="S26" s="286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7"/>
      <c r="R27" s="288"/>
      <c r="S27" s="289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0"/>
      <c r="R28" s="291"/>
      <c r="S28" s="292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5"/>
      <c r="R29" s="275"/>
      <c r="S29" s="275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0"/>
      <c r="R30" s="270"/>
      <c r="S30" s="270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0"/>
      <c r="R31" s="270"/>
      <c r="S31" s="270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75"/>
      <c r="R32" s="275"/>
      <c r="S32" s="275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5"/>
      <c r="R33" s="275"/>
      <c r="S33" s="275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5"/>
      <c r="R34" s="275"/>
      <c r="S34" s="275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7"/>
      <c r="R35" s="298"/>
      <c r="S35" s="299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00"/>
      <c r="R36" s="301"/>
      <c r="S36" s="302"/>
    </row>
    <row r="37" spans="1:19" ht="17.25" customHeight="1" thickBot="1">
      <c r="A37" s="26" t="s">
        <v>42</v>
      </c>
      <c r="B37" s="306">
        <v>300000</v>
      </c>
      <c r="C37" s="307"/>
      <c r="D37" s="26" t="s">
        <v>43</v>
      </c>
      <c r="E37" s="27">
        <f>IF(COUNT(E17:E26), SUM(E17:E26) / COUNT(E17:E26), 0)</f>
        <v>1.5564931807884787E-2</v>
      </c>
      <c r="F37" s="28">
        <f>SUM(F17:F26)</f>
        <v>23347.397711827187</v>
      </c>
      <c r="G37" s="26" t="s">
        <v>43</v>
      </c>
      <c r="H37" s="27">
        <f>IF(COUNT(H17:H26), SUM(H17:H26) / COUNT(H17:H26), 0)</f>
        <v>4.0095170481117118E-2</v>
      </c>
      <c r="I37" s="28">
        <f>SUM(I17:I26)</f>
        <v>60142.755721675669</v>
      </c>
      <c r="J37" s="26" t="s">
        <v>43</v>
      </c>
      <c r="K37" s="27">
        <f>IF(COUNT(K17:K26), SUM(K17:K26) / COUNT(K17:K26), 0)</f>
        <v>4.5788144771571407E-2</v>
      </c>
      <c r="L37" s="28">
        <f>SUM(L17:L26)</f>
        <v>68682.217157357096</v>
      </c>
      <c r="M37" s="26" t="s">
        <v>43</v>
      </c>
      <c r="N37" s="27">
        <f>IF(COUNT(N17:N26), SUM(N17:N26) / COUNT(N17:N26), 0)</f>
        <v>3.9778515263703573E-2</v>
      </c>
      <c r="O37" s="28">
        <f>SUM(O17:O26)</f>
        <v>59667.772895555361</v>
      </c>
      <c r="Q37" s="303"/>
      <c r="R37" s="304"/>
      <c r="S37" s="305"/>
    </row>
    <row r="38" spans="1:19" ht="17.25" customHeight="1"/>
    <row r="39" spans="1:19" ht="17.25" customHeight="1" thickBot="1"/>
    <row r="40" spans="1:19" ht="17.25" customHeight="1" thickBot="1">
      <c r="A40" s="249" t="s">
        <v>44</v>
      </c>
      <c r="B40" s="250"/>
      <c r="C40" s="250"/>
      <c r="D40" s="250"/>
      <c r="E40" s="250"/>
      <c r="F40" s="250"/>
      <c r="G40" s="250"/>
      <c r="H40" s="250"/>
      <c r="I40" s="250"/>
      <c r="J40" s="250"/>
      <c r="K40" s="250"/>
      <c r="L40" s="250"/>
      <c r="M40" s="250"/>
      <c r="N40" s="250"/>
      <c r="O40" s="251"/>
      <c r="Q40" s="270"/>
      <c r="R40" s="270"/>
      <c r="S40" s="270"/>
    </row>
    <row r="41" spans="1:19" ht="17.25" customHeight="1" thickBot="1">
      <c r="A41" s="107" t="s">
        <v>298</v>
      </c>
      <c r="B41" s="249" t="s">
        <v>49</v>
      </c>
      <c r="C41" s="251"/>
      <c r="D41" s="249" t="s">
        <v>58</v>
      </c>
      <c r="E41" s="250"/>
      <c r="F41" s="251"/>
      <c r="G41" s="276">
        <f>_xlfn.IFNA(VLOOKUP(B41, 현재가테이블!$B$2:$D$200, 2, FALSE), "-")</f>
        <v>60874000</v>
      </c>
      <c r="H41" s="277"/>
      <c r="I41" s="278"/>
      <c r="J41" s="249" t="s">
        <v>59</v>
      </c>
      <c r="K41" s="250"/>
      <c r="L41" s="251"/>
      <c r="M41" s="279">
        <f>_xlfn.IFNA(VLOOKUP(B41, 현재가테이블!$B$2:$D$200, 3, FALSE), "-")</f>
        <v>-1.4936000099999999E-2</v>
      </c>
      <c r="N41" s="280"/>
      <c r="O41" s="281"/>
      <c r="Q41" s="270"/>
      <c r="R41" s="270"/>
      <c r="S41" s="270"/>
    </row>
    <row r="42" spans="1:19" ht="17.25" customHeight="1" thickBot="1">
      <c r="A42" s="293" t="s">
        <v>55</v>
      </c>
      <c r="B42" s="295" t="str">
        <f>TEXT($G$1, "[$-ko-KR]yyyy-mm-dd(ddd) ") &amp; "오전 00:00"</f>
        <v>2021-05-03(월) 오전 00:00</v>
      </c>
      <c r="C42" s="296"/>
      <c r="D42" s="272" t="str">
        <f>TEXT($G$1, "[$-ko-KR]yyyy-mm-dd(ddd) ") &amp; "오후 14:00"</f>
        <v>2021-05-03(월) 오후 14:00</v>
      </c>
      <c r="E42" s="273"/>
      <c r="F42" s="274"/>
      <c r="G42" s="272" t="str">
        <f>TEXT($G$1, "[$-ko-KR]yyyy-mm-dd(ddd) ") &amp; "오후 19:00"</f>
        <v>2021-05-03(월) 오후 19:00</v>
      </c>
      <c r="H42" s="273"/>
      <c r="I42" s="274"/>
      <c r="J42" s="272" t="str">
        <f>TEXT($G$1, "[$-ko-KR]yyyy-mm-dd(ddd) ") &amp; "오후 21:00"</f>
        <v>2021-05-03(월) 오후 21:00</v>
      </c>
      <c r="K42" s="273"/>
      <c r="L42" s="274"/>
      <c r="M42" s="272" t="str">
        <f>TEXT($G$1+1, "[$-ko-KR]yyyy-mm-dd(ddd) ") &amp; "오전 00:00"</f>
        <v>2021-05-04(화) 오전 00:00</v>
      </c>
      <c r="N42" s="273"/>
      <c r="O42" s="274"/>
      <c r="Q42" s="270"/>
      <c r="R42" s="270"/>
      <c r="S42" s="270"/>
    </row>
    <row r="43" spans="1:19" ht="17.25" customHeight="1" thickBot="1">
      <c r="A43" s="294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75"/>
      <c r="R43" s="275"/>
      <c r="S43" s="275"/>
    </row>
    <row r="44" spans="1:19" ht="17.25" customHeight="1" thickBot="1">
      <c r="A44" s="12" t="s">
        <v>152</v>
      </c>
      <c r="B44" s="13">
        <v>50</v>
      </c>
      <c r="C44" s="14">
        <v>4.8218029400000001E-2</v>
      </c>
      <c r="D44" s="13">
        <v>50.3</v>
      </c>
      <c r="E44" s="14">
        <f>IF(ISNUMBER(D44), (D44 - $B44) / $B44, "")</f>
        <v>5.9999999999999429E-3</v>
      </c>
      <c r="F44" s="16">
        <f>IF(ISNUMBER(D44), $B64 * E44, "")</f>
        <v>1799.9999999999829</v>
      </c>
      <c r="G44" s="29">
        <v>50.3</v>
      </c>
      <c r="H44" s="14">
        <f>IF(ISNUMBER(G44), (G44 - $B44) / $B44, "")</f>
        <v>5.9999999999999429E-3</v>
      </c>
      <c r="I44" s="96">
        <f>IF(ISNUMBER(G44), $B64 * H44, "")</f>
        <v>1799.9999999999829</v>
      </c>
      <c r="J44" s="13">
        <v>50.4</v>
      </c>
      <c r="K44" s="14">
        <f>IF(ISNUMBER(J44), (J44 - $B44) / $B44, "")</f>
        <v>7.9999999999999724E-3</v>
      </c>
      <c r="L44" s="16">
        <f>IF(ISNUMBER(J44), $B64 * K44, "")</f>
        <v>2399.9999999999918</v>
      </c>
      <c r="M44" s="29">
        <v>49.8</v>
      </c>
      <c r="N44" s="14">
        <f>IF(ISNUMBER(M44), (M44 - $B44) / $B44, "")</f>
        <v>-4.0000000000000565E-3</v>
      </c>
      <c r="O44" s="16">
        <f>IF(ISNUMBER(M44), $B64 * N44, "")</f>
        <v>-1200.0000000000168</v>
      </c>
      <c r="Q44" s="270"/>
      <c r="R44" s="270"/>
      <c r="S44" s="270"/>
    </row>
    <row r="45" spans="1:19" ht="17.25" customHeight="1" thickBot="1">
      <c r="A45" s="17" t="s">
        <v>186</v>
      </c>
      <c r="B45" s="15">
        <v>27.8</v>
      </c>
      <c r="C45" s="32">
        <v>2.9629629599999999E-2</v>
      </c>
      <c r="D45" s="15">
        <v>30.5</v>
      </c>
      <c r="E45" s="32">
        <f t="shared" ref="E45:E48" si="14">IF(ISNUMBER(D45), (D45 - $B45) / $B45, "")</f>
        <v>9.7122302158273346E-2</v>
      </c>
      <c r="F45" s="18">
        <f>IF(ISNUMBER(D45), $B64 * E45, "")</f>
        <v>29136.690647482003</v>
      </c>
      <c r="G45" s="31">
        <v>30.1</v>
      </c>
      <c r="H45" s="32">
        <f t="shared" ref="H45:H48" si="15">IF(ISNUMBER(G45), (G45 - $B45) / $B45, "")</f>
        <v>8.2733812949640315E-2</v>
      </c>
      <c r="I45" s="97">
        <f>IF(ISNUMBER(G45), $B64 * H45, "")</f>
        <v>24820.143884892095</v>
      </c>
      <c r="J45" s="15">
        <v>30.6</v>
      </c>
      <c r="K45" s="32">
        <f t="shared" ref="K45:K48" si="16">IF(ISNUMBER(J45), (J45 - $B45) / $B45, "")</f>
        <v>0.10071942446043168</v>
      </c>
      <c r="L45" s="18">
        <f>IF(ISNUMBER(J45), $B64 * K45, "")</f>
        <v>30215.827338129504</v>
      </c>
      <c r="M45" s="31">
        <v>29.3</v>
      </c>
      <c r="N45" s="32">
        <f t="shared" ref="N45:N48" si="17">IF(ISNUMBER(M45), (M45 - $B45) / $B45, "")</f>
        <v>5.3956834532374098E-2</v>
      </c>
      <c r="O45" s="18">
        <f>IF(ISNUMBER(M45), $B64 * N45, "")</f>
        <v>16187.05035971223</v>
      </c>
      <c r="Q45" s="270"/>
      <c r="R45" s="270"/>
      <c r="S45" s="270"/>
    </row>
    <row r="46" spans="1:19" ht="17.25" customHeight="1" thickBot="1">
      <c r="A46" s="17" t="s">
        <v>228</v>
      </c>
      <c r="B46" s="15">
        <v>20.6</v>
      </c>
      <c r="C46" s="32">
        <v>2.4875621899999999E-2</v>
      </c>
      <c r="D46" s="15">
        <v>21.1</v>
      </c>
      <c r="E46" s="32">
        <f t="shared" si="14"/>
        <v>2.4271844660194174E-2</v>
      </c>
      <c r="F46" s="18">
        <f>IF(ISNUMBER(D46), $B64 * E46, "")</f>
        <v>7281.5533980582522</v>
      </c>
      <c r="G46" s="31">
        <v>21.3</v>
      </c>
      <c r="H46" s="32">
        <f t="shared" si="15"/>
        <v>3.3980582524271809E-2</v>
      </c>
      <c r="I46" s="97">
        <f>IF(ISNUMBER(G46), $B64 * H46, "")</f>
        <v>10194.174757281542</v>
      </c>
      <c r="J46" s="15">
        <v>21.3</v>
      </c>
      <c r="K46" s="32">
        <f t="shared" si="16"/>
        <v>3.3980582524271809E-2</v>
      </c>
      <c r="L46" s="18">
        <f>IF(ISNUMBER(J46), $B64 * K46, "")</f>
        <v>10194.174757281542</v>
      </c>
      <c r="M46" s="31">
        <v>21.1</v>
      </c>
      <c r="N46" s="32">
        <f t="shared" si="17"/>
        <v>2.4271844660194174E-2</v>
      </c>
      <c r="O46" s="18">
        <f>IF(ISNUMBER(M46), $B64 * N46, "")</f>
        <v>7281.5533980582522</v>
      </c>
      <c r="Q46" s="275"/>
      <c r="R46" s="275"/>
      <c r="S46" s="275"/>
    </row>
    <row r="47" spans="1:19" ht="17.25" customHeight="1" thickBot="1">
      <c r="A47" s="17" t="s">
        <v>254</v>
      </c>
      <c r="B47" s="15">
        <v>96.1</v>
      </c>
      <c r="C47" s="32">
        <v>2.3429180000000001E-2</v>
      </c>
      <c r="D47" s="15">
        <v>95.9</v>
      </c>
      <c r="E47" s="32">
        <f t="shared" si="14"/>
        <v>-2.0811654526533678E-3</v>
      </c>
      <c r="F47" s="18">
        <f>IF(ISNUMBER(D47), $B64 * E47, "")</f>
        <v>-624.34963579601038</v>
      </c>
      <c r="G47" s="31">
        <v>99.4</v>
      </c>
      <c r="H47" s="32">
        <f t="shared" si="15"/>
        <v>3.4339229968782636E-2</v>
      </c>
      <c r="I47" s="97">
        <f>IF(ISNUMBER(G47), $B64 * H47, "")</f>
        <v>10301.768990634791</v>
      </c>
      <c r="J47" s="15">
        <v>98.7</v>
      </c>
      <c r="K47" s="32">
        <f t="shared" si="16"/>
        <v>2.7055150884495408E-2</v>
      </c>
      <c r="L47" s="18">
        <f>IF(ISNUMBER(J47), $B64 * K47, "")</f>
        <v>8116.5452653486218</v>
      </c>
      <c r="M47" s="31">
        <v>99</v>
      </c>
      <c r="N47" s="32">
        <f t="shared" si="17"/>
        <v>3.0176899063475607E-2</v>
      </c>
      <c r="O47" s="18">
        <f>IF(ISNUMBER(M47), $B64 * N47, "")</f>
        <v>9053.0697190426818</v>
      </c>
      <c r="Q47" s="275"/>
      <c r="R47" s="275"/>
      <c r="S47" s="275"/>
    </row>
    <row r="48" spans="1:19" ht="17.25" customHeight="1" thickBot="1">
      <c r="A48" s="19" t="s">
        <v>172</v>
      </c>
      <c r="B48" s="20">
        <v>28.5</v>
      </c>
      <c r="C48" s="21">
        <v>3.5211268000000001E-3</v>
      </c>
      <c r="D48" s="20">
        <v>28.6</v>
      </c>
      <c r="E48" s="21">
        <f t="shared" si="14"/>
        <v>3.5087719298246113E-3</v>
      </c>
      <c r="F48" s="22">
        <f>IF(ISNUMBER(D48), $B64 * E48, "")</f>
        <v>1052.6315789473833</v>
      </c>
      <c r="G48" s="30">
        <v>28.9</v>
      </c>
      <c r="H48" s="21">
        <f t="shared" si="15"/>
        <v>1.4035087719298196E-2</v>
      </c>
      <c r="I48" s="101">
        <f>IF(ISNUMBER(G48), $B64 * H48, "")</f>
        <v>4210.5263157894587</v>
      </c>
      <c r="J48" s="20">
        <v>28.9</v>
      </c>
      <c r="K48" s="21">
        <f t="shared" si="16"/>
        <v>1.4035087719298196E-2</v>
      </c>
      <c r="L48" s="22">
        <f>IF(ISNUMBER(J48), $B64 * K48, "")</f>
        <v>4210.5263157894587</v>
      </c>
      <c r="M48" s="30">
        <v>28.7</v>
      </c>
      <c r="N48" s="21">
        <f t="shared" si="17"/>
        <v>7.0175438596490978E-3</v>
      </c>
      <c r="O48" s="22">
        <f>IF(ISNUMBER(M48), $B64 * N48, "")</f>
        <v>2105.2631578947294</v>
      </c>
      <c r="Q48" s="275"/>
      <c r="R48" s="275"/>
      <c r="S48" s="275"/>
    </row>
    <row r="49" spans="1:19" ht="17.25" customHeight="1" thickBot="1">
      <c r="A49" s="17" t="s">
        <v>214</v>
      </c>
      <c r="B49" s="102">
        <v>24.5</v>
      </c>
      <c r="C49" s="103">
        <v>0</v>
      </c>
      <c r="D49" s="102">
        <v>25.4</v>
      </c>
      <c r="E49" s="103">
        <f>IF(ISNUMBER(D49), (D49 - $B49) / $B49, "")</f>
        <v>3.6734693877550961E-2</v>
      </c>
      <c r="F49" s="104">
        <f>IF(ISNUMBER(D49), $B64 * E49, "")</f>
        <v>11020.408163265289</v>
      </c>
      <c r="G49" s="105">
        <v>25.4</v>
      </c>
      <c r="H49" s="103">
        <f>IF(ISNUMBER(G49), (G49 - $B49) / $B49, "")</f>
        <v>3.6734693877550961E-2</v>
      </c>
      <c r="I49" s="106">
        <f>IF(ISNUMBER(G49), $B64 * H49, "")</f>
        <v>11020.408163265289</v>
      </c>
      <c r="J49" s="102">
        <v>25.4</v>
      </c>
      <c r="K49" s="103">
        <f>IF(ISNUMBER(J49), (J49 - $B49) / $B49, "")</f>
        <v>3.6734693877550961E-2</v>
      </c>
      <c r="L49" s="104">
        <f>IF(ISNUMBER(J49), $B64 * K49, "")</f>
        <v>11020.408163265289</v>
      </c>
      <c r="M49" s="105">
        <v>25.3</v>
      </c>
      <c r="N49" s="103">
        <f>IF(ISNUMBER(M49), (M49 - $B49) / $B49, "")</f>
        <v>3.2653061224489827E-2</v>
      </c>
      <c r="O49" s="104">
        <f>IF(ISNUMBER(M49), $B64 * N49, "")</f>
        <v>9795.9183673469488</v>
      </c>
      <c r="Q49" s="275"/>
      <c r="R49" s="275"/>
      <c r="S49" s="275"/>
    </row>
    <row r="50" spans="1:19" ht="17.25" customHeight="1" thickBot="1">
      <c r="A50" s="17" t="s">
        <v>222</v>
      </c>
      <c r="B50" s="15">
        <v>20.3</v>
      </c>
      <c r="C50" s="32">
        <v>-4.9019607999999998E-3</v>
      </c>
      <c r="D50" s="15">
        <v>21</v>
      </c>
      <c r="E50" s="32">
        <f t="shared" ref="E50:E53" si="18">IF(ISNUMBER(D50), (D50 - $B50) / $B50, "")</f>
        <v>3.448275862068962E-2</v>
      </c>
      <c r="F50" s="18">
        <f>IF(ISNUMBER(D50), $B64 * E50, "")</f>
        <v>10344.827586206886</v>
      </c>
      <c r="G50" s="31">
        <v>20.9</v>
      </c>
      <c r="H50" s="32">
        <f t="shared" ref="H50:H53" si="19">IF(ISNUMBER(G50), (G50 - $B50) / $B50, "")</f>
        <v>2.9556650246305313E-2</v>
      </c>
      <c r="I50" s="97">
        <f>IF(ISNUMBER(G50), $B64 * H50, "")</f>
        <v>8866.9950738915941</v>
      </c>
      <c r="J50" s="15">
        <v>21</v>
      </c>
      <c r="K50" s="32">
        <f t="shared" ref="K50:K53" si="20">IF(ISNUMBER(J50), (J50 - $B50) / $B50, "")</f>
        <v>3.448275862068962E-2</v>
      </c>
      <c r="L50" s="18">
        <f>IF(ISNUMBER(J50), $B64 * K50, "")</f>
        <v>10344.827586206886</v>
      </c>
      <c r="M50" s="31">
        <v>20.7</v>
      </c>
      <c r="N50" s="32">
        <f t="shared" ref="N50:N53" si="21">IF(ISNUMBER(M50), (M50 - $B50) / $B50, "")</f>
        <v>1.9704433497536877E-2</v>
      </c>
      <c r="O50" s="18">
        <f>IF(ISNUMBER(M50), $B64 * N50, "")</f>
        <v>5911.3300492610633</v>
      </c>
      <c r="Q50" s="275"/>
      <c r="R50" s="275"/>
      <c r="S50" s="275"/>
    </row>
    <row r="51" spans="1:19" ht="17.25" customHeight="1" thickBot="1">
      <c r="A51" s="17" t="s">
        <v>154</v>
      </c>
      <c r="B51" s="15">
        <v>22.3</v>
      </c>
      <c r="C51" s="32">
        <v>-8.8888888999999992E-3</v>
      </c>
      <c r="D51" s="15">
        <v>24.7</v>
      </c>
      <c r="E51" s="32">
        <f t="shared" si="18"/>
        <v>0.10762331838565016</v>
      </c>
      <c r="F51" s="18">
        <f>IF(ISNUMBER(D51), $B64 * E51, "")</f>
        <v>32286.995515695049</v>
      </c>
      <c r="G51" s="31">
        <v>24.4</v>
      </c>
      <c r="H51" s="32">
        <f t="shared" si="19"/>
        <v>9.4170403587443843E-2</v>
      </c>
      <c r="I51" s="97">
        <f>IF(ISNUMBER(G51), $B64 * H51, "")</f>
        <v>28251.121076233154</v>
      </c>
      <c r="J51" s="15">
        <v>24.6</v>
      </c>
      <c r="K51" s="32">
        <f t="shared" si="20"/>
        <v>0.10313901345291483</v>
      </c>
      <c r="L51" s="18">
        <f>IF(ISNUMBER(J51), $B64 * K51, "")</f>
        <v>30941.704035874449</v>
      </c>
      <c r="M51" s="31">
        <v>24</v>
      </c>
      <c r="N51" s="32">
        <f t="shared" si="21"/>
        <v>7.6233183856502212E-2</v>
      </c>
      <c r="O51" s="18">
        <f>IF(ISNUMBER(M51), $B64 * N51, "")</f>
        <v>22869.955156950662</v>
      </c>
      <c r="Q51" s="275"/>
      <c r="R51" s="275"/>
      <c r="S51" s="275"/>
    </row>
    <row r="52" spans="1:19" ht="17.25" customHeight="1" thickBot="1">
      <c r="A52" s="17" t="s">
        <v>220</v>
      </c>
      <c r="B52" s="15">
        <v>20.3</v>
      </c>
      <c r="C52" s="32">
        <v>-9.7560975999999994E-3</v>
      </c>
      <c r="D52" s="15">
        <v>22.5</v>
      </c>
      <c r="E52" s="32">
        <f t="shared" si="18"/>
        <v>0.10837438423645317</v>
      </c>
      <c r="F52" s="18">
        <f>IF(ISNUMBER(D52), $B64 * E52, "")</f>
        <v>32512.315270935949</v>
      </c>
      <c r="G52" s="31">
        <v>22.9</v>
      </c>
      <c r="H52" s="32">
        <f t="shared" si="19"/>
        <v>0.12807881773399005</v>
      </c>
      <c r="I52" s="97">
        <f>IF(ISNUMBER(G52), $B64 * H52, "")</f>
        <v>38423.645320197014</v>
      </c>
      <c r="J52" s="15">
        <v>23</v>
      </c>
      <c r="K52" s="32">
        <f t="shared" si="20"/>
        <v>0.13300492610837433</v>
      </c>
      <c r="L52" s="18">
        <f>IF(ISNUMBER(J52), $B64 * K52, "")</f>
        <v>39901.477832512297</v>
      </c>
      <c r="M52" s="31">
        <v>23.9</v>
      </c>
      <c r="N52" s="32">
        <f t="shared" si="21"/>
        <v>0.17733990147783241</v>
      </c>
      <c r="O52" s="18">
        <f>IF(ISNUMBER(M52), $B64 * N52, "")</f>
        <v>53201.970443349725</v>
      </c>
      <c r="Q52" s="33"/>
      <c r="R52" s="33"/>
    </row>
    <row r="53" spans="1:19" ht="17.25" customHeight="1" thickBot="1">
      <c r="A53" s="23" t="s">
        <v>266</v>
      </c>
      <c r="B53" s="24">
        <v>95.4</v>
      </c>
      <c r="C53" s="25">
        <v>-1.0373444000000001E-2</v>
      </c>
      <c r="D53" s="24">
        <v>96</v>
      </c>
      <c r="E53" s="25">
        <f t="shared" si="18"/>
        <v>6.2893081761005686E-3</v>
      </c>
      <c r="F53" s="100">
        <f>IF(ISNUMBER(D53), $B64 * E53, "")</f>
        <v>1886.7924528301705</v>
      </c>
      <c r="G53" s="98">
        <v>98.4</v>
      </c>
      <c r="H53" s="25">
        <f t="shared" si="19"/>
        <v>3.1446540880503145E-2</v>
      </c>
      <c r="I53" s="99">
        <f>IF(ISNUMBER(G53), $B64 * H53, "")</f>
        <v>9433.9622641509432</v>
      </c>
      <c r="J53" s="24">
        <v>98.9</v>
      </c>
      <c r="K53" s="25">
        <f t="shared" si="20"/>
        <v>3.668763102725367E-2</v>
      </c>
      <c r="L53" s="100">
        <f>IF(ISNUMBER(J53), $B64 * K53, "")</f>
        <v>11006.289308176101</v>
      </c>
      <c r="M53" s="98">
        <v>100</v>
      </c>
      <c r="N53" s="25">
        <f t="shared" si="21"/>
        <v>4.821802935010476E-2</v>
      </c>
      <c r="O53" s="100">
        <f>IF(ISNUMBER(M53), $B64 * N53, "")</f>
        <v>14465.408805031428</v>
      </c>
      <c r="Q53" s="284"/>
      <c r="R53" s="285"/>
      <c r="S53" s="286"/>
    </row>
    <row r="54" spans="1:19" ht="17.25" customHeight="1">
      <c r="A54" s="12" t="s">
        <v>236</v>
      </c>
      <c r="B54" s="13">
        <v>77.2</v>
      </c>
      <c r="C54" s="14">
        <v>-1.40485313E-2</v>
      </c>
      <c r="D54" s="13">
        <v>77.099999999999994</v>
      </c>
      <c r="E54" s="14">
        <f>IF(ISNUMBER(D54), (D54 - $B54) / $B54, "")</f>
        <v>-1.2953367875648773E-3</v>
      </c>
      <c r="F54" s="16">
        <f>IF(ISNUMBER(D54), $B64 * E54, "")</f>
        <v>-388.60103626946318</v>
      </c>
      <c r="G54" s="29">
        <v>78.2</v>
      </c>
      <c r="H54" s="14">
        <f>IF(ISNUMBER(G54), (G54 - $B54) / $B54, "")</f>
        <v>1.2953367875647668E-2</v>
      </c>
      <c r="I54" s="96">
        <f>IF(ISNUMBER(G54), $B64 * H54, "")</f>
        <v>3886.0103626943001</v>
      </c>
      <c r="J54" s="13">
        <v>78.599999999999994</v>
      </c>
      <c r="K54" s="14">
        <f>IF(ISNUMBER(J54), (J54 - $B54) / $B54, "")</f>
        <v>1.8134715025906623E-2</v>
      </c>
      <c r="L54" s="16">
        <f>IF(ISNUMBER(J54), $B64 * K54, "")</f>
        <v>5440.4145077719868</v>
      </c>
      <c r="M54" s="29">
        <v>78.400000000000006</v>
      </c>
      <c r="N54" s="14">
        <f>IF(ISNUMBER(M54), (M54 - $B54) / $B54, "")</f>
        <v>1.5544041450777238E-2</v>
      </c>
      <c r="O54" s="16">
        <f>IF(ISNUMBER(M54), $B64 * N54, "")</f>
        <v>4663.2124352331712</v>
      </c>
      <c r="Q54" s="287"/>
      <c r="R54" s="288"/>
      <c r="S54" s="289"/>
    </row>
    <row r="55" spans="1:19" ht="17.25" customHeight="1" thickBot="1">
      <c r="A55" s="17" t="s">
        <v>218</v>
      </c>
      <c r="B55" s="15">
        <v>32.1</v>
      </c>
      <c r="C55" s="32">
        <v>-1.53374233E-2</v>
      </c>
      <c r="D55" s="15">
        <v>32.9</v>
      </c>
      <c r="E55" s="32">
        <f t="shared" ref="E55:E58" si="22">IF(ISNUMBER(D55), (D55 - $B55) / $B55, "")</f>
        <v>2.4922118380062214E-2</v>
      </c>
      <c r="F55" s="18">
        <f>IF(ISNUMBER(D55), $B64 * E55, "")</f>
        <v>7476.6355140186643</v>
      </c>
      <c r="G55" s="31">
        <v>33.1</v>
      </c>
      <c r="H55" s="32">
        <f t="shared" ref="H55:H58" si="23">IF(ISNUMBER(G55), (G55 - $B55) / $B55, "")</f>
        <v>3.1152647975077882E-2</v>
      </c>
      <c r="I55" s="97">
        <f>IF(ISNUMBER(G55), $B64 * H55, "")</f>
        <v>9345.7943925233649</v>
      </c>
      <c r="J55" s="15">
        <v>33.200000000000003</v>
      </c>
      <c r="K55" s="32">
        <f t="shared" ref="K55:K58" si="24">IF(ISNUMBER(J55), (J55 - $B55) / $B55, "")</f>
        <v>3.4267912772585715E-2</v>
      </c>
      <c r="L55" s="18">
        <f>IF(ISNUMBER(J55), $B64 * K55, "")</f>
        <v>10280.373831775714</v>
      </c>
      <c r="M55" s="31">
        <v>32.799999999999997</v>
      </c>
      <c r="N55" s="32">
        <f t="shared" ref="N55:N58" si="25">IF(ISNUMBER(M55), (M55 - $B55) / $B55, "")</f>
        <v>2.1806853582554384E-2</v>
      </c>
      <c r="O55" s="18">
        <f>IF(ISNUMBER(M55), $B64 * N55, "")</f>
        <v>6542.0560747663149</v>
      </c>
      <c r="Q55" s="290"/>
      <c r="R55" s="291"/>
      <c r="S55" s="292"/>
    </row>
    <row r="56" spans="1:19" ht="17.25" customHeight="1" thickBot="1">
      <c r="A56" s="17" t="s">
        <v>198</v>
      </c>
      <c r="B56" s="15">
        <v>31.6</v>
      </c>
      <c r="C56" s="32">
        <v>-1.5576324000000001E-2</v>
      </c>
      <c r="D56" s="15">
        <v>32.4</v>
      </c>
      <c r="E56" s="32">
        <f t="shared" si="22"/>
        <v>2.5316455696202441E-2</v>
      </c>
      <c r="F56" s="18">
        <f>IF(ISNUMBER(D56), $B64 * E56, "")</f>
        <v>7594.9367088607323</v>
      </c>
      <c r="G56" s="31">
        <v>32.700000000000003</v>
      </c>
      <c r="H56" s="32">
        <f t="shared" si="23"/>
        <v>3.4810126582278528E-2</v>
      </c>
      <c r="I56" s="97">
        <f>IF(ISNUMBER(G56), $B64 * H56, "")</f>
        <v>10443.037974683559</v>
      </c>
      <c r="J56" s="15">
        <v>32.700000000000003</v>
      </c>
      <c r="K56" s="32">
        <f t="shared" si="24"/>
        <v>3.4810126582278528E-2</v>
      </c>
      <c r="L56" s="18">
        <f>IF(ISNUMBER(J56), $B64 * K56, "")</f>
        <v>10443.037974683559</v>
      </c>
      <c r="M56" s="31">
        <v>32.4</v>
      </c>
      <c r="N56" s="32">
        <f t="shared" si="25"/>
        <v>2.5316455696202441E-2</v>
      </c>
      <c r="O56" s="18">
        <f>IF(ISNUMBER(M56), $B64 * N56, "")</f>
        <v>7594.9367088607323</v>
      </c>
      <c r="Q56" s="275"/>
      <c r="R56" s="275"/>
      <c r="S56" s="275"/>
    </row>
    <row r="57" spans="1:19" ht="17.25" customHeight="1" thickBot="1">
      <c r="A57" s="17" t="s">
        <v>196</v>
      </c>
      <c r="B57" s="15">
        <v>21.8</v>
      </c>
      <c r="C57" s="32">
        <v>-2.2421524700000001E-2</v>
      </c>
      <c r="D57" s="15">
        <v>22.6</v>
      </c>
      <c r="E57" s="32">
        <f t="shared" si="22"/>
        <v>3.6697247706422048E-2</v>
      </c>
      <c r="F57" s="18">
        <f>IF(ISNUMBER(D57), $B64 * E57, "")</f>
        <v>11009.174311926614</v>
      </c>
      <c r="G57" s="31">
        <v>22.8</v>
      </c>
      <c r="H57" s="32">
        <f t="shared" si="23"/>
        <v>4.5871559633027519E-2</v>
      </c>
      <c r="I57" s="97">
        <f>IF(ISNUMBER(G57), $B64 * H57, "")</f>
        <v>13761.467889908256</v>
      </c>
      <c r="J57" s="15">
        <v>22.9</v>
      </c>
      <c r="K57" s="32">
        <f t="shared" si="24"/>
        <v>5.0458715596330174E-2</v>
      </c>
      <c r="L57" s="18">
        <f>IF(ISNUMBER(J57), $B64 * K57, "")</f>
        <v>15137.614678899052</v>
      </c>
      <c r="M57" s="31">
        <v>22.6</v>
      </c>
      <c r="N57" s="32">
        <f t="shared" si="25"/>
        <v>3.6697247706422048E-2</v>
      </c>
      <c r="O57" s="18">
        <f>IF(ISNUMBER(M57), $B64 * N57, "")</f>
        <v>11009.174311926614</v>
      </c>
      <c r="Q57" s="270"/>
      <c r="R57" s="270"/>
      <c r="S57" s="270"/>
    </row>
    <row r="58" spans="1:19" ht="17.25" customHeight="1" thickBot="1">
      <c r="A58" s="19" t="s">
        <v>100</v>
      </c>
      <c r="B58" s="20">
        <v>8.44</v>
      </c>
      <c r="C58" s="21">
        <v>-2.3148148100000002E-2</v>
      </c>
      <c r="D58" s="20">
        <v>8.5</v>
      </c>
      <c r="E58" s="21">
        <f t="shared" si="22"/>
        <v>7.1090047393365524E-3</v>
      </c>
      <c r="F58" s="22">
        <f>IF(ISNUMBER(D58), $B64 * E58, "")</f>
        <v>2132.7014218009658</v>
      </c>
      <c r="G58" s="30">
        <v>8.5399999999999991</v>
      </c>
      <c r="H58" s="21">
        <f t="shared" si="23"/>
        <v>1.1848341232227447E-2</v>
      </c>
      <c r="I58" s="101">
        <f>IF(ISNUMBER(G58), $B64 * H58, "")</f>
        <v>3554.5023696682342</v>
      </c>
      <c r="J58" s="20">
        <v>8.65</v>
      </c>
      <c r="K58" s="21">
        <f t="shared" si="24"/>
        <v>2.4881516587677826E-2</v>
      </c>
      <c r="L58" s="22">
        <f>IF(ISNUMBER(J58), $B64 * K58, "")</f>
        <v>7464.4549763033474</v>
      </c>
      <c r="M58" s="30">
        <v>8.4700000000000006</v>
      </c>
      <c r="N58" s="21">
        <f t="shared" si="25"/>
        <v>3.5545023696683812E-3</v>
      </c>
      <c r="O58" s="22">
        <f>IF(ISNUMBER(M58), $B64 * N58, "")</f>
        <v>1066.3507109005143</v>
      </c>
      <c r="Q58" s="270"/>
      <c r="R58" s="270"/>
      <c r="S58" s="270"/>
    </row>
    <row r="59" spans="1:19" ht="17.25" customHeight="1" thickBot="1">
      <c r="A59" s="17" t="s">
        <v>72</v>
      </c>
      <c r="B59" s="102">
        <v>36.799999999999997</v>
      </c>
      <c r="C59" s="103">
        <v>-2.3872679000000001E-2</v>
      </c>
      <c r="D59" s="102">
        <v>37.6</v>
      </c>
      <c r="E59" s="103">
        <f>IF(ISNUMBER(D59), (D59 - $B59) / $B59, "")</f>
        <v>2.1739130434782726E-2</v>
      </c>
      <c r="F59" s="104">
        <f>IF(ISNUMBER(D59), $B64 * E59, "")</f>
        <v>6521.7391304348175</v>
      </c>
      <c r="G59" s="105">
        <v>38.5</v>
      </c>
      <c r="H59" s="103">
        <f>IF(ISNUMBER(G59), (G59 - $B59) / $B59, "")</f>
        <v>4.6195652173913124E-2</v>
      </c>
      <c r="I59" s="106">
        <f>IF(ISNUMBER(G59), $B64 * H59, "")</f>
        <v>13858.695652173938</v>
      </c>
      <c r="J59" s="102">
        <v>38.6</v>
      </c>
      <c r="K59" s="103">
        <f>IF(ISNUMBER(J59), (J59 - $B59) / $B59, "")</f>
        <v>4.891304347826099E-2</v>
      </c>
      <c r="L59" s="104">
        <f>IF(ISNUMBER(J59), $B64 * K59, "")</f>
        <v>14673.913043478296</v>
      </c>
      <c r="M59" s="105">
        <v>38.299999999999997</v>
      </c>
      <c r="N59" s="103">
        <f>IF(ISNUMBER(M59), (M59 - $B59) / $B59, "")</f>
        <v>4.0760869565217392E-2</v>
      </c>
      <c r="O59" s="104">
        <f>IF(ISNUMBER(M59), $B64 * N59, "")</f>
        <v>12228.260869565218</v>
      </c>
      <c r="Q59" s="275"/>
      <c r="R59" s="275"/>
      <c r="S59" s="275"/>
    </row>
    <row r="60" spans="1:19" ht="17.25" customHeight="1" thickBot="1">
      <c r="A60" s="17" t="s">
        <v>65</v>
      </c>
      <c r="B60" s="15">
        <v>75.8</v>
      </c>
      <c r="C60" s="32">
        <v>-3.1928480199999998E-2</v>
      </c>
      <c r="D60" s="15">
        <v>78.900000000000006</v>
      </c>
      <c r="E60" s="32">
        <f t="shared" ref="E60:E63" si="26">IF(ISNUMBER(D60), (D60 - $B60) / $B60, "")</f>
        <v>4.0897097625329927E-2</v>
      </c>
      <c r="F60" s="18">
        <f>IF(ISNUMBER(D60), $B64 * E60, "")</f>
        <v>12269.129287598978</v>
      </c>
      <c r="G60" s="31">
        <v>79.2</v>
      </c>
      <c r="H60" s="32">
        <f t="shared" ref="H60:H63" si="27">IF(ISNUMBER(G60), (G60 - $B60) / $B60, "")</f>
        <v>4.4854881266490843E-2</v>
      </c>
      <c r="I60" s="97">
        <f>IF(ISNUMBER(G60), $B64 * H60, "")</f>
        <v>13456.464379947252</v>
      </c>
      <c r="J60" s="15">
        <v>80</v>
      </c>
      <c r="K60" s="32">
        <f t="shared" ref="K60:K63" si="28">IF(ISNUMBER(J60), (J60 - $B60) / $B60, "")</f>
        <v>5.5408970976253337E-2</v>
      </c>
      <c r="L60" s="18">
        <f>IF(ISNUMBER(J60), $B64 * K60, "")</f>
        <v>16622.691292875999</v>
      </c>
      <c r="M60" s="31">
        <v>80</v>
      </c>
      <c r="N60" s="32">
        <f t="shared" ref="N60:N63" si="29">IF(ISNUMBER(M60), (M60 - $B60) / $B60, "")</f>
        <v>5.5408970976253337E-2</v>
      </c>
      <c r="O60" s="18">
        <f>IF(ISNUMBER(M60), $B64 * N60, "")</f>
        <v>16622.691292875999</v>
      </c>
      <c r="Q60" s="275"/>
      <c r="R60" s="275"/>
      <c r="S60" s="275"/>
    </row>
    <row r="61" spans="1:19" ht="17.25" customHeight="1" thickBot="1">
      <c r="A61" s="17" t="s">
        <v>126</v>
      </c>
      <c r="B61" s="15">
        <v>68.7</v>
      </c>
      <c r="C61" s="32">
        <v>-3.7815126099999999E-2</v>
      </c>
      <c r="D61" s="15">
        <v>69.2</v>
      </c>
      <c r="E61" s="32">
        <f t="shared" si="26"/>
        <v>7.2780203784570596E-3</v>
      </c>
      <c r="F61" s="18">
        <f>IF(ISNUMBER(D61), $B64 * E61, "")</f>
        <v>2183.406113537118</v>
      </c>
      <c r="G61" s="31">
        <v>69.400000000000006</v>
      </c>
      <c r="H61" s="32">
        <f t="shared" si="27"/>
        <v>1.0189228529839925E-2</v>
      </c>
      <c r="I61" s="97">
        <f>IF(ISNUMBER(G61), $B64 * H61, "")</f>
        <v>3056.7685589519774</v>
      </c>
      <c r="J61" s="15">
        <v>69.7</v>
      </c>
      <c r="K61" s="32">
        <f t="shared" si="28"/>
        <v>1.4556040756914119E-2</v>
      </c>
      <c r="L61" s="18">
        <f>IF(ISNUMBER(J61), $B64 * K61, "")</f>
        <v>4366.812227074236</v>
      </c>
      <c r="M61" s="31">
        <v>68.7</v>
      </c>
      <c r="N61" s="32">
        <f t="shared" si="29"/>
        <v>0</v>
      </c>
      <c r="O61" s="18">
        <f>IF(ISNUMBER(M61), $B64 * N61, "")</f>
        <v>0</v>
      </c>
      <c r="Q61" s="275"/>
      <c r="R61" s="275"/>
      <c r="S61" s="275"/>
    </row>
    <row r="62" spans="1:19" ht="17.25" customHeight="1">
      <c r="A62" s="17"/>
      <c r="B62" s="15"/>
      <c r="C62" s="32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97"/>
      <c r="R62" s="298"/>
      <c r="S62" s="299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00"/>
      <c r="R63" s="301"/>
      <c r="S63" s="302"/>
    </row>
    <row r="64" spans="1:19" ht="17.25" customHeight="1" thickBot="1">
      <c r="A64" s="26" t="s">
        <v>301</v>
      </c>
      <c r="B64" s="306">
        <f>$B$37</f>
        <v>300000</v>
      </c>
      <c r="C64" s="307"/>
      <c r="D64" s="26" t="s">
        <v>302</v>
      </c>
      <c r="E64" s="27">
        <f>IF(COUNT(E44:E63), SUM(E44:E63) / COUNT(E44:E63), 0)</f>
        <v>3.2499441931395062E-2</v>
      </c>
      <c r="F64" s="28">
        <f>SUM(F44:F63)</f>
        <v>175496.9864295334</v>
      </c>
      <c r="G64" s="26" t="s">
        <v>302</v>
      </c>
      <c r="H64" s="27">
        <f>IF(COUNT(H44:H63), SUM(H44:H63) / COUNT(H44:H63), 0)</f>
        <v>4.0497312486460504E-2</v>
      </c>
      <c r="I64" s="28">
        <f>SUM(I44:I63)</f>
        <v>218685.48742688677</v>
      </c>
      <c r="J64" s="26" t="s">
        <v>302</v>
      </c>
      <c r="K64" s="27">
        <f>IF(COUNT(K44:K63), SUM(K44:K63) / COUNT(K44:K63), 0)</f>
        <v>4.4959461691749317E-2</v>
      </c>
      <c r="L64" s="28">
        <f>SUM(L44:L63)</f>
        <v>242781.09313544634</v>
      </c>
      <c r="M64" s="26" t="s">
        <v>302</v>
      </c>
      <c r="N64" s="27">
        <f>IF(COUNT(N44:N63), SUM(N44:N63) / COUNT(N44:N63), 0)</f>
        <v>3.6925592937180791E-2</v>
      </c>
      <c r="O64" s="28">
        <f>SUM(O44:O63)</f>
        <v>199398.20186077629</v>
      </c>
      <c r="Q64" s="303"/>
      <c r="R64" s="304"/>
      <c r="S64" s="305"/>
    </row>
    <row r="65" spans="1:19" ht="17.25" customHeight="1"/>
    <row r="66" spans="1:19" ht="17.25" customHeight="1" thickBot="1"/>
    <row r="67" spans="1:19" ht="17.25" thickBot="1">
      <c r="A67" s="249" t="s">
        <v>45</v>
      </c>
      <c r="B67" s="250"/>
      <c r="C67" s="250"/>
      <c r="D67" s="250"/>
      <c r="E67" s="250"/>
      <c r="F67" s="250"/>
      <c r="G67" s="250"/>
      <c r="H67" s="250"/>
      <c r="I67" s="250"/>
      <c r="J67" s="250"/>
      <c r="K67" s="250"/>
      <c r="L67" s="250"/>
      <c r="M67" s="250"/>
      <c r="N67" s="250"/>
      <c r="O67" s="251"/>
      <c r="Q67" s="270"/>
      <c r="R67" s="270"/>
      <c r="S67" s="270"/>
    </row>
    <row r="68" spans="1:19" ht="17.25" thickBot="1">
      <c r="A68" s="107" t="s">
        <v>298</v>
      </c>
      <c r="B68" s="249" t="s">
        <v>49</v>
      </c>
      <c r="C68" s="251"/>
      <c r="D68" s="249" t="s">
        <v>58</v>
      </c>
      <c r="E68" s="250"/>
      <c r="F68" s="251"/>
      <c r="G68" s="276">
        <f>_xlfn.IFNA(VLOOKUP(B68, 현재가테이블!$B$2:$D$200, 2, FALSE), "-")</f>
        <v>60874000</v>
      </c>
      <c r="H68" s="277"/>
      <c r="I68" s="278"/>
      <c r="J68" s="249" t="s">
        <v>59</v>
      </c>
      <c r="K68" s="250"/>
      <c r="L68" s="251"/>
      <c r="M68" s="279">
        <f>_xlfn.IFNA(VLOOKUP(B68, 현재가테이블!$B$2:$D$200, 3, FALSE), "-")</f>
        <v>-1.4936000099999999E-2</v>
      </c>
      <c r="N68" s="280"/>
      <c r="O68" s="281"/>
      <c r="Q68" s="270"/>
      <c r="R68" s="270"/>
      <c r="S68" s="270"/>
    </row>
    <row r="69" spans="1:19" ht="17.25" thickBot="1">
      <c r="A69" s="293" t="s">
        <v>55</v>
      </c>
      <c r="B69" s="295" t="str">
        <f>TEXT($G$1, "[$-ko-KR]yyyy-mm-dd(ddd) ") &amp; "오전 00:00"</f>
        <v>2021-05-03(월) 오전 00:00</v>
      </c>
      <c r="C69" s="296"/>
      <c r="D69" s="272" t="str">
        <f>TEXT($G$1, "[$-ko-KR]yyyy-mm-dd(ddd) ") &amp; "오후 14:00"</f>
        <v>2021-05-03(월) 오후 14:00</v>
      </c>
      <c r="E69" s="273"/>
      <c r="F69" s="274"/>
      <c r="G69" s="272" t="str">
        <f>TEXT($G$1, "[$-ko-KR]yyyy-mm-dd(ddd) ") &amp; "오후 19:00"</f>
        <v>2021-05-03(월) 오후 19:00</v>
      </c>
      <c r="H69" s="273"/>
      <c r="I69" s="274"/>
      <c r="J69" s="272" t="str">
        <f>TEXT($G$1, "[$-ko-KR]yyyy-mm-dd(ddd) ") &amp; "오후 21:00"</f>
        <v>2021-05-03(월) 오후 21:00</v>
      </c>
      <c r="K69" s="273"/>
      <c r="L69" s="274"/>
      <c r="M69" s="272" t="str">
        <f>TEXT($G$1+1, "[$-ko-KR]yyyy-mm-dd(ddd) ") &amp; "오전 00:00"</f>
        <v>2021-05-04(화) 오전 00:00</v>
      </c>
      <c r="N69" s="273"/>
      <c r="O69" s="274"/>
      <c r="Q69" s="270"/>
      <c r="R69" s="270"/>
      <c r="S69" s="270"/>
    </row>
    <row r="70" spans="1:19" ht="17.25" thickBot="1">
      <c r="A70" s="294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75"/>
      <c r="R70" s="275"/>
      <c r="S70" s="275"/>
    </row>
    <row r="71" spans="1:19" ht="17.25" thickBot="1">
      <c r="A71" s="12" t="s">
        <v>202</v>
      </c>
      <c r="B71" s="13">
        <v>252</v>
      </c>
      <c r="C71" s="14">
        <v>0.1454545455</v>
      </c>
      <c r="D71" s="13">
        <v>257</v>
      </c>
      <c r="E71" s="14">
        <f>IF(ISNUMBER(D71), (D71 - $B71) / $B71, "")</f>
        <v>1.984126984126984E-2</v>
      </c>
      <c r="F71" s="16">
        <f>IF(ISNUMBER(D71), $B91 * E71, "")</f>
        <v>5952.3809523809523</v>
      </c>
      <c r="G71" s="29">
        <v>251</v>
      </c>
      <c r="H71" s="14">
        <f>IF(ISNUMBER(G71), (G71 - $B71) / $B71, "")</f>
        <v>-3.968253968253968E-3</v>
      </c>
      <c r="I71" s="96">
        <f>IF(ISNUMBER(G71), $B91 * H71, "")</f>
        <v>-1190.4761904761904</v>
      </c>
      <c r="J71" s="13">
        <v>253</v>
      </c>
      <c r="K71" s="14">
        <f>IF(ISNUMBER(J71), (J71 - $B71) / $B71, "")</f>
        <v>3.968253968253968E-3</v>
      </c>
      <c r="L71" s="16">
        <f>IF(ISNUMBER(J71), $B91 * K71, "")</f>
        <v>1190.4761904761904</v>
      </c>
      <c r="M71" s="29">
        <v>250</v>
      </c>
      <c r="N71" s="14">
        <f>IF(ISNUMBER(M71), (M71 - $B71) / $B71, "")</f>
        <v>-7.9365079365079361E-3</v>
      </c>
      <c r="O71" s="16">
        <f>IF(ISNUMBER(M71), $B91 * N71, "")</f>
        <v>-2380.9523809523807</v>
      </c>
      <c r="Q71" s="270"/>
      <c r="R71" s="270"/>
      <c r="S71" s="270"/>
    </row>
    <row r="72" spans="1:19" ht="17.25" thickBot="1">
      <c r="A72" s="17" t="s">
        <v>212</v>
      </c>
      <c r="B72" s="15">
        <v>181</v>
      </c>
      <c r="C72" s="32">
        <v>0.11042944790000001</v>
      </c>
      <c r="D72" s="15">
        <v>177</v>
      </c>
      <c r="E72" s="32">
        <f t="shared" ref="E72:E75" si="30">IF(ISNUMBER(D72), (D72 - $B72) / $B72, "")</f>
        <v>-2.2099447513812154E-2</v>
      </c>
      <c r="F72" s="18">
        <f>IF(ISNUMBER(D72), $B91 * E72, "")</f>
        <v>-6629.8342541436459</v>
      </c>
      <c r="G72" s="31">
        <v>178</v>
      </c>
      <c r="H72" s="32">
        <f t="shared" ref="H72:H75" si="31">IF(ISNUMBER(G72), (G72 - $B72) / $B72, "")</f>
        <v>-1.6574585635359115E-2</v>
      </c>
      <c r="I72" s="97">
        <f>IF(ISNUMBER(G72), $B91 * H72, "")</f>
        <v>-4972.3756906077342</v>
      </c>
      <c r="J72" s="15">
        <v>180</v>
      </c>
      <c r="K72" s="32">
        <f t="shared" ref="K72:K75" si="32">IF(ISNUMBER(J72), (J72 - $B72) / $B72, "")</f>
        <v>-5.5248618784530384E-3</v>
      </c>
      <c r="L72" s="18">
        <f>IF(ISNUMBER(J72), $B91 * K72, "")</f>
        <v>-1657.4585635359115</v>
      </c>
      <c r="M72" s="31">
        <v>179</v>
      </c>
      <c r="N72" s="32">
        <f t="shared" ref="N72:N75" si="33">IF(ISNUMBER(M72), (M72 - $B72) / $B72, "")</f>
        <v>-1.1049723756906077E-2</v>
      </c>
      <c r="O72" s="18">
        <f>IF(ISNUMBER(M72), $B91 * N72, "")</f>
        <v>-3314.917127071823</v>
      </c>
      <c r="Q72" s="270"/>
      <c r="R72" s="270"/>
      <c r="S72" s="270"/>
    </row>
    <row r="73" spans="1:19" ht="17.25" thickBot="1">
      <c r="A73" s="17" t="s">
        <v>132</v>
      </c>
      <c r="B73" s="15">
        <v>254</v>
      </c>
      <c r="C73" s="32">
        <v>4.5267489700000003E-2</v>
      </c>
      <c r="D73" s="15">
        <v>262</v>
      </c>
      <c r="E73" s="32">
        <f t="shared" si="30"/>
        <v>3.1496062992125984E-2</v>
      </c>
      <c r="F73" s="18">
        <f>IF(ISNUMBER(D73), $B91 * E73, "")</f>
        <v>9448.8188976377951</v>
      </c>
      <c r="G73" s="31">
        <v>263</v>
      </c>
      <c r="H73" s="32">
        <f t="shared" si="31"/>
        <v>3.5433070866141732E-2</v>
      </c>
      <c r="I73" s="97">
        <f>IF(ISNUMBER(G73), $B91 * H73, "")</f>
        <v>10629.92125984252</v>
      </c>
      <c r="J73" s="15">
        <v>265</v>
      </c>
      <c r="K73" s="32">
        <f t="shared" si="32"/>
        <v>4.3307086614173228E-2</v>
      </c>
      <c r="L73" s="18">
        <f>IF(ISNUMBER(J73), $B91 * K73, "")</f>
        <v>12992.125984251968</v>
      </c>
      <c r="M73" s="31">
        <v>258</v>
      </c>
      <c r="N73" s="32">
        <f t="shared" si="33"/>
        <v>1.5748031496062992E-2</v>
      </c>
      <c r="O73" s="18">
        <f>IF(ISNUMBER(M73), $B91 * N73, "")</f>
        <v>4724.4094488188975</v>
      </c>
      <c r="Q73" s="275"/>
      <c r="R73" s="275"/>
      <c r="S73" s="275"/>
    </row>
    <row r="74" spans="1:19" ht="17.25" thickBot="1">
      <c r="A74" s="17" t="s">
        <v>230</v>
      </c>
      <c r="B74" s="15">
        <v>198</v>
      </c>
      <c r="C74" s="32">
        <v>4.21052632E-2</v>
      </c>
      <c r="D74" s="15">
        <v>202</v>
      </c>
      <c r="E74" s="32">
        <f t="shared" si="30"/>
        <v>2.0202020202020204E-2</v>
      </c>
      <c r="F74" s="18">
        <f>IF(ISNUMBER(D74), $B91 * E74, "")</f>
        <v>6060.606060606061</v>
      </c>
      <c r="G74" s="31">
        <v>202</v>
      </c>
      <c r="H74" s="32">
        <f t="shared" si="31"/>
        <v>2.0202020202020204E-2</v>
      </c>
      <c r="I74" s="97">
        <f>IF(ISNUMBER(G74), $B91 * H74, "")</f>
        <v>6060.606060606061</v>
      </c>
      <c r="J74" s="15">
        <v>203</v>
      </c>
      <c r="K74" s="32">
        <f t="shared" si="32"/>
        <v>2.5252525252525252E-2</v>
      </c>
      <c r="L74" s="18">
        <f>IF(ISNUMBER(J74), $B91 * K74, "")</f>
        <v>7575.757575757576</v>
      </c>
      <c r="M74" s="31">
        <v>200</v>
      </c>
      <c r="N74" s="32">
        <f t="shared" si="33"/>
        <v>1.0101010101010102E-2</v>
      </c>
      <c r="O74" s="18">
        <f>IF(ISNUMBER(M74), $B91 * N74, "")</f>
        <v>3030.3030303030305</v>
      </c>
      <c r="Q74" s="275"/>
      <c r="R74" s="275"/>
      <c r="S74" s="275"/>
    </row>
    <row r="75" spans="1:19" ht="17.25" thickBot="1">
      <c r="A75" s="19" t="s">
        <v>122</v>
      </c>
      <c r="B75" s="20">
        <v>130</v>
      </c>
      <c r="C75" s="21">
        <v>3.1746031700000003E-2</v>
      </c>
      <c r="D75" s="20">
        <v>136</v>
      </c>
      <c r="E75" s="21">
        <f t="shared" si="30"/>
        <v>4.6153846153846156E-2</v>
      </c>
      <c r="F75" s="22">
        <f>IF(ISNUMBER(D75), $B91 * E75, "")</f>
        <v>13846.153846153848</v>
      </c>
      <c r="G75" s="30">
        <v>135</v>
      </c>
      <c r="H75" s="21">
        <f t="shared" si="31"/>
        <v>3.8461538461538464E-2</v>
      </c>
      <c r="I75" s="101">
        <f>IF(ISNUMBER(G75), $B91 * H75, "")</f>
        <v>11538.461538461539</v>
      </c>
      <c r="J75" s="20">
        <v>136</v>
      </c>
      <c r="K75" s="21">
        <f t="shared" si="32"/>
        <v>4.6153846153846156E-2</v>
      </c>
      <c r="L75" s="22">
        <f>IF(ISNUMBER(J75), $B91 * K75, "")</f>
        <v>13846.153846153848</v>
      </c>
      <c r="M75" s="30">
        <v>134</v>
      </c>
      <c r="N75" s="21">
        <f t="shared" si="33"/>
        <v>3.0769230769230771E-2</v>
      </c>
      <c r="O75" s="22">
        <f>IF(ISNUMBER(M75), $B91 * N75, "")</f>
        <v>9230.7692307692305</v>
      </c>
      <c r="Q75" s="275"/>
      <c r="R75" s="275"/>
      <c r="S75" s="275"/>
    </row>
    <row r="76" spans="1:19" ht="17.25" thickBot="1">
      <c r="A76" s="17" t="s">
        <v>268</v>
      </c>
      <c r="B76" s="102">
        <v>101</v>
      </c>
      <c r="C76" s="103">
        <v>2.2267206500000001E-2</v>
      </c>
      <c r="D76" s="102">
        <v>108</v>
      </c>
      <c r="E76" s="103">
        <f>IF(ISNUMBER(D76), (D76 - $B76) / $B76, "")</f>
        <v>6.9306930693069313E-2</v>
      </c>
      <c r="F76" s="104">
        <f>IF(ISNUMBER(D76), $B91 * E76, "")</f>
        <v>20792.079207920793</v>
      </c>
      <c r="G76" s="105">
        <v>112</v>
      </c>
      <c r="H76" s="103">
        <f>IF(ISNUMBER(G76), (G76 - $B76) / $B76, "")</f>
        <v>0.10891089108910891</v>
      </c>
      <c r="I76" s="106">
        <f>IF(ISNUMBER(G76), $B91 * H76, "")</f>
        <v>32673.267326732672</v>
      </c>
      <c r="J76" s="102">
        <v>112</v>
      </c>
      <c r="K76" s="103">
        <f>IF(ISNUMBER(J76), (J76 - $B76) / $B76, "")</f>
        <v>0.10891089108910891</v>
      </c>
      <c r="L76" s="104">
        <f>IF(ISNUMBER(J76), $B91 * K76, "")</f>
        <v>32673.267326732672</v>
      </c>
      <c r="M76" s="105">
        <v>113</v>
      </c>
      <c r="N76" s="103">
        <f>IF(ISNUMBER(M76), (M76 - $B76) / $B76, "")</f>
        <v>0.11881188118811881</v>
      </c>
      <c r="O76" s="104">
        <f>IF(ISNUMBER(M76), $B91 * N76, "")</f>
        <v>35643.564356435643</v>
      </c>
      <c r="Q76" s="275"/>
      <c r="R76" s="275"/>
      <c r="S76" s="275"/>
    </row>
    <row r="77" spans="1:19" ht="17.25" thickBot="1">
      <c r="A77" s="17" t="s">
        <v>112</v>
      </c>
      <c r="B77" s="15">
        <v>283</v>
      </c>
      <c r="C77" s="32">
        <v>1.43369176E-2</v>
      </c>
      <c r="D77" s="15">
        <v>289</v>
      </c>
      <c r="E77" s="32">
        <f t="shared" ref="E77:E80" si="34">IF(ISNUMBER(D77), (D77 - $B77) / $B77, "")</f>
        <v>2.1201413427561839E-2</v>
      </c>
      <c r="F77" s="18">
        <f>IF(ISNUMBER(D77), $B91 * E77, "")</f>
        <v>6360.4240282685514</v>
      </c>
      <c r="G77" s="31">
        <v>294</v>
      </c>
      <c r="H77" s="32">
        <f t="shared" ref="H77:H80" si="35">IF(ISNUMBER(G77), (G77 - $B77) / $B77, "")</f>
        <v>3.8869257950530034E-2</v>
      </c>
      <c r="I77" s="97">
        <f>IF(ISNUMBER(G77), $B91 * H77, "")</f>
        <v>11660.77738515901</v>
      </c>
      <c r="J77" s="15">
        <v>294</v>
      </c>
      <c r="K77" s="32">
        <f t="shared" ref="K77:K80" si="36">IF(ISNUMBER(J77), (J77 - $B77) / $B77, "")</f>
        <v>3.8869257950530034E-2</v>
      </c>
      <c r="L77" s="18">
        <f>IF(ISNUMBER(J77), $B91 * K77, "")</f>
        <v>11660.77738515901</v>
      </c>
      <c r="M77" s="31">
        <v>289</v>
      </c>
      <c r="N77" s="32">
        <f t="shared" ref="N77:N80" si="37">IF(ISNUMBER(M77), (M77 - $B77) / $B77, "")</f>
        <v>2.1201413427561839E-2</v>
      </c>
      <c r="O77" s="18">
        <f>IF(ISNUMBER(M77), $B91 * N77, "")</f>
        <v>6360.4240282685514</v>
      </c>
      <c r="Q77" s="275"/>
      <c r="R77" s="275"/>
      <c r="S77" s="275"/>
    </row>
    <row r="78" spans="1:19" ht="17.25" thickBot="1">
      <c r="A78" s="17" t="s">
        <v>208</v>
      </c>
      <c r="B78" s="15">
        <v>540</v>
      </c>
      <c r="C78" s="32">
        <v>1.3133208299999999E-2</v>
      </c>
      <c r="D78" s="15">
        <v>546</v>
      </c>
      <c r="E78" s="32">
        <f t="shared" si="34"/>
        <v>1.1111111111111112E-2</v>
      </c>
      <c r="F78" s="18">
        <f>IF(ISNUMBER(D78), $B91 * E78, "")</f>
        <v>3333.3333333333335</v>
      </c>
      <c r="G78" s="31">
        <v>557</v>
      </c>
      <c r="H78" s="32">
        <f t="shared" si="35"/>
        <v>3.1481481481481478E-2</v>
      </c>
      <c r="I78" s="97">
        <f>IF(ISNUMBER(G78), $B91 * H78, "")</f>
        <v>9444.4444444444434</v>
      </c>
      <c r="J78" s="15">
        <v>562</v>
      </c>
      <c r="K78" s="32">
        <f t="shared" si="36"/>
        <v>4.0740740740740744E-2</v>
      </c>
      <c r="L78" s="18">
        <f>IF(ISNUMBER(J78), $B91 * K78, "")</f>
        <v>12222.222222222223</v>
      </c>
      <c r="M78" s="31">
        <v>550</v>
      </c>
      <c r="N78" s="32">
        <f t="shared" si="37"/>
        <v>1.8518518518518517E-2</v>
      </c>
      <c r="O78" s="18">
        <f>IF(ISNUMBER(M78), $B91 * N78, "")</f>
        <v>5555.5555555555557</v>
      </c>
      <c r="Q78" s="275"/>
      <c r="R78" s="275"/>
      <c r="S78" s="275"/>
    </row>
    <row r="79" spans="1:19" ht="17.25" thickBot="1">
      <c r="A79" s="17" t="s">
        <v>54</v>
      </c>
      <c r="B79" s="15">
        <v>393</v>
      </c>
      <c r="C79" s="32">
        <v>1.0282776299999999E-2</v>
      </c>
      <c r="D79" s="15">
        <v>401</v>
      </c>
      <c r="E79" s="32">
        <f t="shared" si="34"/>
        <v>2.0356234096692113E-2</v>
      </c>
      <c r="F79" s="18">
        <f>IF(ISNUMBER(D79), $B91 * E79, "")</f>
        <v>6106.8702290076344</v>
      </c>
      <c r="G79" s="31">
        <v>404</v>
      </c>
      <c r="H79" s="32">
        <f t="shared" si="35"/>
        <v>2.7989821882951654E-2</v>
      </c>
      <c r="I79" s="97">
        <f>IF(ISNUMBER(G79), $B91 * H79, "")</f>
        <v>8396.9465648854966</v>
      </c>
      <c r="J79" s="15">
        <v>409</v>
      </c>
      <c r="K79" s="32">
        <f t="shared" si="36"/>
        <v>4.0712468193384227E-2</v>
      </c>
      <c r="L79" s="18">
        <f>IF(ISNUMBER(J79), $B91 * K79, "")</f>
        <v>12213.740458015269</v>
      </c>
      <c r="M79" s="31">
        <v>400</v>
      </c>
      <c r="N79" s="32">
        <f t="shared" si="37"/>
        <v>1.7811704834605598E-2</v>
      </c>
      <c r="O79" s="18">
        <f>IF(ISNUMBER(M79), $B91 * N79, "")</f>
        <v>5343.5114503816794</v>
      </c>
      <c r="Q79" s="33"/>
      <c r="R79" s="33"/>
    </row>
    <row r="80" spans="1:19" ht="17.25" thickBot="1">
      <c r="A80" s="23" t="s">
        <v>210</v>
      </c>
      <c r="B80" s="24">
        <v>219</v>
      </c>
      <c r="C80" s="25">
        <v>4.5871560000000002E-3</v>
      </c>
      <c r="D80" s="24">
        <v>222</v>
      </c>
      <c r="E80" s="25">
        <f t="shared" si="34"/>
        <v>1.3698630136986301E-2</v>
      </c>
      <c r="F80" s="100">
        <f>IF(ISNUMBER(D80), $B91 * E80, "")</f>
        <v>4109.58904109589</v>
      </c>
      <c r="G80" s="98">
        <v>225</v>
      </c>
      <c r="H80" s="25">
        <f t="shared" si="35"/>
        <v>2.7397260273972601E-2</v>
      </c>
      <c r="I80" s="99">
        <f>IF(ISNUMBER(G80), $B91 * H80, "")</f>
        <v>8219.17808219178</v>
      </c>
      <c r="J80" s="24">
        <v>224</v>
      </c>
      <c r="K80" s="25">
        <f t="shared" si="36"/>
        <v>2.2831050228310501E-2</v>
      </c>
      <c r="L80" s="100">
        <f>IF(ISNUMBER(J80), $B91 * K80, "")</f>
        <v>6849.3150684931506</v>
      </c>
      <c r="M80" s="98">
        <v>223</v>
      </c>
      <c r="N80" s="25">
        <f t="shared" si="37"/>
        <v>1.8264840182648401E-2</v>
      </c>
      <c r="O80" s="100">
        <f>IF(ISNUMBER(M80), $B91 * N80, "")</f>
        <v>5479.4520547945203</v>
      </c>
      <c r="Q80" s="284"/>
      <c r="R80" s="285"/>
      <c r="S80" s="286"/>
    </row>
    <row r="81" spans="1:19">
      <c r="A81" s="12" t="s">
        <v>142</v>
      </c>
      <c r="B81" s="13">
        <v>424</v>
      </c>
      <c r="C81" s="14">
        <v>-7.0257610999999998E-3</v>
      </c>
      <c r="D81" s="13">
        <v>459</v>
      </c>
      <c r="E81" s="14">
        <f>IF(ISNUMBER(D81), (D81 - $B81) / $B81, "")</f>
        <v>8.254716981132075E-2</v>
      </c>
      <c r="F81" s="16">
        <f>IF(ISNUMBER(D81), $B91 * E81, "")</f>
        <v>24764.150943396224</v>
      </c>
      <c r="G81" s="29">
        <v>464</v>
      </c>
      <c r="H81" s="14">
        <f>IF(ISNUMBER(G81), (G81 - $B81) / $B81, "")</f>
        <v>9.4339622641509441E-2</v>
      </c>
      <c r="I81" s="96">
        <f>IF(ISNUMBER(G81), $B91 * H81, "")</f>
        <v>28301.886792452831</v>
      </c>
      <c r="J81" s="13">
        <v>466</v>
      </c>
      <c r="K81" s="14">
        <f>IF(ISNUMBER(J81), (J81 - $B81) / $B81, "")</f>
        <v>9.9056603773584911E-2</v>
      </c>
      <c r="L81" s="16">
        <f>IF(ISNUMBER(J81), $B91 * K81, "")</f>
        <v>29716.981132075474</v>
      </c>
      <c r="M81" s="29">
        <v>466</v>
      </c>
      <c r="N81" s="14">
        <f>IF(ISNUMBER(M81), (M81 - $B81) / $B81, "")</f>
        <v>9.9056603773584911E-2</v>
      </c>
      <c r="O81" s="16">
        <f>IF(ISNUMBER(M81), $B91 * N81, "")</f>
        <v>29716.981132075474</v>
      </c>
      <c r="Q81" s="287"/>
      <c r="R81" s="288"/>
      <c r="S81" s="289"/>
    </row>
    <row r="82" spans="1:19" ht="17.25" thickBot="1">
      <c r="A82" s="17" t="s">
        <v>270</v>
      </c>
      <c r="B82" s="15">
        <v>548</v>
      </c>
      <c r="C82" s="32">
        <v>-9.0415913000000004E-3</v>
      </c>
      <c r="D82" s="15">
        <v>605</v>
      </c>
      <c r="E82" s="32">
        <f t="shared" ref="E82:E85" si="38">IF(ISNUMBER(D82), (D82 - $B82) / $B82, "")</f>
        <v>0.10401459854014598</v>
      </c>
      <c r="F82" s="18">
        <f>IF(ISNUMBER(D82), $B91 * E82, "")</f>
        <v>31204.379562043796</v>
      </c>
      <c r="G82" s="31">
        <v>607</v>
      </c>
      <c r="H82" s="32">
        <f t="shared" ref="H82:H85" si="39">IF(ISNUMBER(G82), (G82 - $B82) / $B82, "")</f>
        <v>0.10766423357664233</v>
      </c>
      <c r="I82" s="97">
        <f>IF(ISNUMBER(G82), $B91 * H82, "")</f>
        <v>32299.270072992698</v>
      </c>
      <c r="J82" s="15">
        <v>620</v>
      </c>
      <c r="K82" s="32">
        <f t="shared" ref="K82:K85" si="40">IF(ISNUMBER(J82), (J82 - $B82) / $B82, "")</f>
        <v>0.13138686131386862</v>
      </c>
      <c r="L82" s="18">
        <f>IF(ISNUMBER(J82), $B91 * K82, "")</f>
        <v>39416.058394160587</v>
      </c>
      <c r="M82" s="31">
        <v>599</v>
      </c>
      <c r="N82" s="32">
        <f t="shared" ref="N82:N85" si="41">IF(ISNUMBER(M82), (M82 - $B82) / $B82, "")</f>
        <v>9.3065693430656932E-2</v>
      </c>
      <c r="O82" s="18">
        <f>IF(ISNUMBER(M82), $B91 * N82, "")</f>
        <v>27919.708029197078</v>
      </c>
      <c r="Q82" s="290"/>
      <c r="R82" s="291"/>
      <c r="S82" s="292"/>
    </row>
    <row r="83" spans="1:19" ht="17.25" thickBot="1">
      <c r="A83" s="17" t="s">
        <v>238</v>
      </c>
      <c r="B83" s="15">
        <v>316</v>
      </c>
      <c r="C83" s="32">
        <v>-1.2500000000000001E-2</v>
      </c>
      <c r="D83" s="15">
        <v>340</v>
      </c>
      <c r="E83" s="32">
        <f t="shared" si="38"/>
        <v>7.5949367088607597E-2</v>
      </c>
      <c r="F83" s="18">
        <f>IF(ISNUMBER(D83), $B91 * E83, "")</f>
        <v>22784.810126582281</v>
      </c>
      <c r="G83" s="31">
        <v>337</v>
      </c>
      <c r="H83" s="32">
        <f t="shared" si="39"/>
        <v>6.6455696202531639E-2</v>
      </c>
      <c r="I83" s="97">
        <f>IF(ISNUMBER(G83), $B91 * H83, "")</f>
        <v>19936.708860759492</v>
      </c>
      <c r="J83" s="15">
        <v>337</v>
      </c>
      <c r="K83" s="32">
        <f t="shared" si="40"/>
        <v>6.6455696202531639E-2</v>
      </c>
      <c r="L83" s="18">
        <f>IF(ISNUMBER(J83), $B91 * K83, "")</f>
        <v>19936.708860759492</v>
      </c>
      <c r="M83" s="31">
        <v>333</v>
      </c>
      <c r="N83" s="32">
        <f t="shared" si="41"/>
        <v>5.3797468354430382E-2</v>
      </c>
      <c r="O83" s="18">
        <f>IF(ISNUMBER(M83), $B91 * N83, "")</f>
        <v>16139.240506329115</v>
      </c>
      <c r="Q83" s="275"/>
      <c r="R83" s="275"/>
      <c r="S83" s="275"/>
    </row>
    <row r="84" spans="1:19" ht="17.25" thickBot="1">
      <c r="A84" s="17" t="s">
        <v>156</v>
      </c>
      <c r="B84" s="15">
        <v>155</v>
      </c>
      <c r="C84" s="32">
        <v>-1.2738853499999999E-2</v>
      </c>
      <c r="D84" s="15">
        <v>157</v>
      </c>
      <c r="E84" s="32">
        <f t="shared" si="38"/>
        <v>1.2903225806451613E-2</v>
      </c>
      <c r="F84" s="18">
        <f>IF(ISNUMBER(D84), $B91 * E84, "")</f>
        <v>3870.9677419354839</v>
      </c>
      <c r="G84" s="31">
        <v>162</v>
      </c>
      <c r="H84" s="32">
        <f t="shared" si="39"/>
        <v>4.5161290322580643E-2</v>
      </c>
      <c r="I84" s="97">
        <f>IF(ISNUMBER(G84), $B91 * H84, "")</f>
        <v>13548.387096774193</v>
      </c>
      <c r="J84" s="15">
        <v>164</v>
      </c>
      <c r="K84" s="32">
        <f t="shared" si="40"/>
        <v>5.8064516129032261E-2</v>
      </c>
      <c r="L84" s="18">
        <f>IF(ISNUMBER(J84), $B91 * K84, "")</f>
        <v>17419.354838709678</v>
      </c>
      <c r="M84" s="31">
        <v>160</v>
      </c>
      <c r="N84" s="32">
        <f t="shared" si="41"/>
        <v>3.2258064516129031E-2</v>
      </c>
      <c r="O84" s="18">
        <f>IF(ISNUMBER(M84), $B91 * N84, "")</f>
        <v>9677.4193548387102</v>
      </c>
      <c r="Q84" s="270"/>
      <c r="R84" s="270"/>
      <c r="S84" s="270"/>
    </row>
    <row r="85" spans="1:19" ht="17.25" thickBot="1">
      <c r="A85" s="19" t="s">
        <v>170</v>
      </c>
      <c r="B85" s="20">
        <v>541</v>
      </c>
      <c r="C85" s="21">
        <v>-1.4571949000000001E-2</v>
      </c>
      <c r="D85" s="20">
        <v>544</v>
      </c>
      <c r="E85" s="21">
        <f t="shared" si="38"/>
        <v>5.5452865064695009E-3</v>
      </c>
      <c r="F85" s="22">
        <f>IF(ISNUMBER(D85), $B91 * E85, "")</f>
        <v>1663.5859519408502</v>
      </c>
      <c r="G85" s="30">
        <v>551</v>
      </c>
      <c r="H85" s="21">
        <f t="shared" si="39"/>
        <v>1.8484288354898338E-2</v>
      </c>
      <c r="I85" s="101">
        <f>IF(ISNUMBER(G85), $B91 * H85, "")</f>
        <v>5545.2865064695015</v>
      </c>
      <c r="J85" s="20">
        <v>555</v>
      </c>
      <c r="K85" s="21">
        <f t="shared" si="40"/>
        <v>2.5878003696857672E-2</v>
      </c>
      <c r="L85" s="22">
        <f>IF(ISNUMBER(J85), $B91 * K85, "")</f>
        <v>7763.4011090573022</v>
      </c>
      <c r="M85" s="30">
        <v>549</v>
      </c>
      <c r="N85" s="21">
        <f t="shared" si="41"/>
        <v>1.4787430683918669E-2</v>
      </c>
      <c r="O85" s="22">
        <f>IF(ISNUMBER(M85), $B91 * N85, "")</f>
        <v>4436.2292051756003</v>
      </c>
      <c r="Q85" s="270"/>
      <c r="R85" s="270"/>
      <c r="S85" s="270"/>
    </row>
    <row r="86" spans="1:19" ht="17.25" thickBot="1">
      <c r="A86" s="17" t="s">
        <v>88</v>
      </c>
      <c r="B86" s="102">
        <v>649</v>
      </c>
      <c r="C86" s="103">
        <v>-1.6666666699999999E-2</v>
      </c>
      <c r="D86" s="102">
        <v>651</v>
      </c>
      <c r="E86" s="103">
        <f>IF(ISNUMBER(D86), (D86 - $B86) / $B86, "")</f>
        <v>3.0816640986132513E-3</v>
      </c>
      <c r="F86" s="104">
        <f>IF(ISNUMBER(D86), $B91 * E86, "")</f>
        <v>924.49922958397542</v>
      </c>
      <c r="G86" s="105">
        <v>650</v>
      </c>
      <c r="H86" s="103">
        <f>IF(ISNUMBER(G86), (G86 - $B86) / $B86, "")</f>
        <v>1.5408320493066256E-3</v>
      </c>
      <c r="I86" s="106">
        <f>IF(ISNUMBER(G86), $B91 * H86, "")</f>
        <v>462.24961479198771</v>
      </c>
      <c r="J86" s="102">
        <v>652</v>
      </c>
      <c r="K86" s="103">
        <f>IF(ISNUMBER(J86), (J86 - $B86) / $B86, "")</f>
        <v>4.6224961479198771E-3</v>
      </c>
      <c r="L86" s="104">
        <f>IF(ISNUMBER(J86), $B91 * K86, "")</f>
        <v>1386.7488443759632</v>
      </c>
      <c r="M86" s="105">
        <v>650</v>
      </c>
      <c r="N86" s="103">
        <f>IF(ISNUMBER(M86), (M86 - $B86) / $B86, "")</f>
        <v>1.5408320493066256E-3</v>
      </c>
      <c r="O86" s="104">
        <f>IF(ISNUMBER(M86), $B91 * N86, "")</f>
        <v>462.24961479198771</v>
      </c>
      <c r="Q86" s="275"/>
      <c r="R86" s="275"/>
      <c r="S86" s="275"/>
    </row>
    <row r="87" spans="1:19" ht="17.25" thickBot="1">
      <c r="A87" s="17" t="s">
        <v>200</v>
      </c>
      <c r="B87" s="15">
        <v>407</v>
      </c>
      <c r="C87" s="32">
        <v>-1.69082126E-2</v>
      </c>
      <c r="D87" s="15">
        <v>409</v>
      </c>
      <c r="E87" s="32">
        <f t="shared" ref="E87:E90" si="42">IF(ISNUMBER(D87), (D87 - $B87) / $B87, "")</f>
        <v>4.9140049140049139E-3</v>
      </c>
      <c r="F87" s="18">
        <f>IF(ISNUMBER(D87), $B91 * E87, "")</f>
        <v>1474.2014742014742</v>
      </c>
      <c r="G87" s="31">
        <v>415</v>
      </c>
      <c r="H87" s="32">
        <f t="shared" ref="H87:H90" si="43">IF(ISNUMBER(G87), (G87 - $B87) / $B87, "")</f>
        <v>1.9656019656019656E-2</v>
      </c>
      <c r="I87" s="97">
        <f>IF(ISNUMBER(G87), $B91 * H87, "")</f>
        <v>5896.8058968058967</v>
      </c>
      <c r="J87" s="15">
        <v>425</v>
      </c>
      <c r="K87" s="32">
        <f t="shared" ref="K87:K90" si="44">IF(ISNUMBER(J87), (J87 - $B87) / $B87, "")</f>
        <v>4.4226044226044224E-2</v>
      </c>
      <c r="L87" s="18">
        <f>IF(ISNUMBER(J87), $B91 * K87, "")</f>
        <v>13267.813267813268</v>
      </c>
      <c r="M87" s="31">
        <v>411</v>
      </c>
      <c r="N87" s="32">
        <f t="shared" ref="N87:N90" si="45">IF(ISNUMBER(M87), (M87 - $B87) / $B87, "")</f>
        <v>9.8280098280098278E-3</v>
      </c>
      <c r="O87" s="18">
        <f>IF(ISNUMBER(M87), $B91 * N87, "")</f>
        <v>2948.4029484029484</v>
      </c>
      <c r="Q87" s="275"/>
      <c r="R87" s="275"/>
      <c r="S87" s="275"/>
    </row>
    <row r="88" spans="1:19" ht="17.25" thickBot="1">
      <c r="A88" s="17" t="s">
        <v>182</v>
      </c>
      <c r="B88" s="15">
        <v>494</v>
      </c>
      <c r="C88" s="32">
        <v>-1.7892644100000001E-2</v>
      </c>
      <c r="D88" s="15">
        <v>497</v>
      </c>
      <c r="E88" s="32">
        <f t="shared" si="42"/>
        <v>6.0728744939271256E-3</v>
      </c>
      <c r="F88" s="18">
        <f>IF(ISNUMBER(D88), $B91 * E88, "")</f>
        <v>1821.8623481781376</v>
      </c>
      <c r="G88" s="31">
        <v>507</v>
      </c>
      <c r="H88" s="32">
        <f t="shared" si="43"/>
        <v>2.6315789473684209E-2</v>
      </c>
      <c r="I88" s="97">
        <f>IF(ISNUMBER(G88), $B91 * H88, "")</f>
        <v>7894.7368421052624</v>
      </c>
      <c r="J88" s="15">
        <v>513</v>
      </c>
      <c r="K88" s="32">
        <f t="shared" si="44"/>
        <v>3.8461538461538464E-2</v>
      </c>
      <c r="L88" s="18">
        <f>IF(ISNUMBER(J88), $B91 * K88, "")</f>
        <v>11538.461538461539</v>
      </c>
      <c r="M88" s="31">
        <v>504</v>
      </c>
      <c r="N88" s="32">
        <f t="shared" si="45"/>
        <v>2.0242914979757085E-2</v>
      </c>
      <c r="O88" s="18">
        <f>IF(ISNUMBER(M88), $B91 * N88, "")</f>
        <v>6072.8744939271255</v>
      </c>
      <c r="Q88" s="275"/>
      <c r="R88" s="275"/>
      <c r="S88" s="275"/>
    </row>
    <row r="89" spans="1:19">
      <c r="A89" s="17" t="s">
        <v>116</v>
      </c>
      <c r="B89" s="15">
        <v>706</v>
      </c>
      <c r="C89" s="32">
        <v>-1.8080667599999999E-2</v>
      </c>
      <c r="D89" s="15">
        <v>727</v>
      </c>
      <c r="E89" s="32">
        <f t="shared" si="42"/>
        <v>2.9745042492917848E-2</v>
      </c>
      <c r="F89" s="18">
        <f>IF(ISNUMBER(D89), $B91 * E89, "")</f>
        <v>8923.5127478753548</v>
      </c>
      <c r="G89" s="31">
        <v>748</v>
      </c>
      <c r="H89" s="32">
        <f t="shared" si="43"/>
        <v>5.9490084985835696E-2</v>
      </c>
      <c r="I89" s="97">
        <f>IF(ISNUMBER(G89), $B91 * H89, "")</f>
        <v>17847.02549575071</v>
      </c>
      <c r="J89" s="15">
        <v>763</v>
      </c>
      <c r="K89" s="32">
        <f t="shared" si="44"/>
        <v>8.0736543909348438E-2</v>
      </c>
      <c r="L89" s="18">
        <f>IF(ISNUMBER(J89), $B91 * K89, "")</f>
        <v>24220.963172804531</v>
      </c>
      <c r="M89" s="31">
        <v>755</v>
      </c>
      <c r="N89" s="32">
        <f t="shared" si="45"/>
        <v>6.9405099150141647E-2</v>
      </c>
      <c r="O89" s="18">
        <f>IF(ISNUMBER(M89), $B91 * N89, "")</f>
        <v>20821.529745042495</v>
      </c>
      <c r="Q89" s="297"/>
      <c r="R89" s="298"/>
      <c r="S89" s="299"/>
    </row>
    <row r="90" spans="1:19" ht="17.25" thickBot="1">
      <c r="A90" s="23" t="s">
        <v>134</v>
      </c>
      <c r="B90" s="24">
        <v>158</v>
      </c>
      <c r="C90" s="25">
        <v>-1.8633540399999999E-2</v>
      </c>
      <c r="D90" s="24">
        <v>161</v>
      </c>
      <c r="E90" s="25">
        <f t="shared" si="42"/>
        <v>1.8987341772151899E-2</v>
      </c>
      <c r="F90" s="100">
        <f>IF(ISNUMBER(D90), $B91 * E90, "")</f>
        <v>5696.2025316455702</v>
      </c>
      <c r="G90" s="98">
        <v>163</v>
      </c>
      <c r="H90" s="25">
        <f t="shared" si="43"/>
        <v>3.1645569620253167E-2</v>
      </c>
      <c r="I90" s="99">
        <f>IF(ISNUMBER(G90), $B91 * H90, "")</f>
        <v>9493.67088607595</v>
      </c>
      <c r="J90" s="24">
        <v>166</v>
      </c>
      <c r="K90" s="25">
        <f t="shared" si="44"/>
        <v>5.0632911392405063E-2</v>
      </c>
      <c r="L90" s="100">
        <f>IF(ISNUMBER(J90), $B91 * K90, "")</f>
        <v>15189.873417721519</v>
      </c>
      <c r="M90" s="98">
        <v>162</v>
      </c>
      <c r="N90" s="25">
        <f t="shared" si="45"/>
        <v>2.5316455696202531E-2</v>
      </c>
      <c r="O90" s="100">
        <f>IF(ISNUMBER(M90), $B91 * N90, "")</f>
        <v>7594.9367088607596</v>
      </c>
      <c r="Q90" s="300"/>
      <c r="R90" s="301"/>
      <c r="S90" s="302"/>
    </row>
    <row r="91" spans="1:19" ht="17.25" thickBot="1">
      <c r="A91" s="26" t="s">
        <v>301</v>
      </c>
      <c r="B91" s="306">
        <f>$B$37</f>
        <v>300000</v>
      </c>
      <c r="C91" s="307"/>
      <c r="D91" s="26" t="s">
        <v>302</v>
      </c>
      <c r="E91" s="27">
        <f>IF(COUNT(E71:E90), SUM(E71:E90) / COUNT(E71:E90), 0)</f>
        <v>2.8751432333274062E-2</v>
      </c>
      <c r="F91" s="28">
        <f>SUM(F71:F90)</f>
        <v>172508.59399964436</v>
      </c>
      <c r="G91" s="26" t="s">
        <v>302</v>
      </c>
      <c r="H91" s="27">
        <f>IF(COUNT(H71:H90), SUM(H71:H90) / COUNT(H71:H90), 0)</f>
        <v>3.8947796474369689E-2</v>
      </c>
      <c r="I91" s="28">
        <f>SUM(I71:I90)</f>
        <v>233686.77884621805</v>
      </c>
      <c r="J91" s="26" t="s">
        <v>302</v>
      </c>
      <c r="K91" s="27">
        <f>IF(COUNT(K71:K90), SUM(K71:K90) / COUNT(K71:K90), 0)</f>
        <v>4.8237123678277566E-2</v>
      </c>
      <c r="L91" s="28">
        <f>SUM(L71:L90)</f>
        <v>289422.74206966534</v>
      </c>
      <c r="M91" s="26" t="s">
        <v>302</v>
      </c>
      <c r="N91" s="27">
        <f>IF(COUNT(N71:N90), SUM(N71:N90) / COUNT(N71:N90), 0)</f>
        <v>3.2576948564324033E-2</v>
      </c>
      <c r="O91" s="28">
        <f>SUM(O71:O90)</f>
        <v>195461.69138594417</v>
      </c>
      <c r="Q91" s="303"/>
      <c r="R91" s="304"/>
      <c r="S91" s="305"/>
    </row>
    <row r="93" spans="1:19" ht="17.25" thickBot="1"/>
    <row r="94" spans="1:19" ht="17.25" thickBot="1">
      <c r="A94" s="249" t="s">
        <v>46</v>
      </c>
      <c r="B94" s="250"/>
      <c r="C94" s="250"/>
      <c r="D94" s="250"/>
      <c r="E94" s="250"/>
      <c r="F94" s="250"/>
      <c r="G94" s="250"/>
      <c r="H94" s="250"/>
      <c r="I94" s="250"/>
      <c r="J94" s="250"/>
      <c r="K94" s="250"/>
      <c r="L94" s="250"/>
      <c r="M94" s="250"/>
      <c r="N94" s="250"/>
      <c r="O94" s="251"/>
      <c r="Q94" s="270"/>
      <c r="R94" s="270"/>
      <c r="S94" s="270"/>
    </row>
    <row r="95" spans="1:19" ht="17.25" thickBot="1">
      <c r="A95" s="107" t="s">
        <v>298</v>
      </c>
      <c r="B95" s="249" t="s">
        <v>49</v>
      </c>
      <c r="C95" s="251"/>
      <c r="D95" s="249" t="s">
        <v>58</v>
      </c>
      <c r="E95" s="250"/>
      <c r="F95" s="251"/>
      <c r="G95" s="276">
        <f>_xlfn.IFNA(VLOOKUP(B95, 현재가테이블!$B$2:$D$200, 2, FALSE), "-")</f>
        <v>60874000</v>
      </c>
      <c r="H95" s="277"/>
      <c r="I95" s="278"/>
      <c r="J95" s="249" t="s">
        <v>59</v>
      </c>
      <c r="K95" s="250"/>
      <c r="L95" s="251"/>
      <c r="M95" s="279">
        <f>_xlfn.IFNA(VLOOKUP(B95, 현재가테이블!$B$2:$D$200, 3, FALSE), "-")</f>
        <v>-1.4936000099999999E-2</v>
      </c>
      <c r="N95" s="280"/>
      <c r="O95" s="281"/>
      <c r="Q95" s="270"/>
      <c r="R95" s="270"/>
      <c r="S95" s="270"/>
    </row>
    <row r="96" spans="1:19" ht="17.25" thickBot="1">
      <c r="A96" s="293" t="s">
        <v>55</v>
      </c>
      <c r="B96" s="295" t="str">
        <f>TEXT($G$1, "[$-ko-KR]yyyy-mm-dd(ddd) ") &amp; "오전 00:00"</f>
        <v>2021-05-03(월) 오전 00:00</v>
      </c>
      <c r="C96" s="296"/>
      <c r="D96" s="272" t="str">
        <f>TEXT($G$1, "[$-ko-KR]yyyy-mm-dd(ddd) ") &amp; "오후 14:00"</f>
        <v>2021-05-03(월) 오후 14:00</v>
      </c>
      <c r="E96" s="273"/>
      <c r="F96" s="274"/>
      <c r="G96" s="272" t="str">
        <f>TEXT($G$1, "[$-ko-KR]yyyy-mm-dd(ddd) ") &amp; "오후 19:00"</f>
        <v>2021-05-03(월) 오후 19:00</v>
      </c>
      <c r="H96" s="273"/>
      <c r="I96" s="274"/>
      <c r="J96" s="272" t="str">
        <f>TEXT($G$1, "[$-ko-KR]yyyy-mm-dd(ddd) ") &amp; "오후 21:00"</f>
        <v>2021-05-03(월) 오후 21:00</v>
      </c>
      <c r="K96" s="273"/>
      <c r="L96" s="274"/>
      <c r="M96" s="272" t="str">
        <f>TEXT($G$1+1, "[$-ko-KR]yyyy-mm-dd(ddd) ") &amp; "오전 00:00"</f>
        <v>2021-05-04(화) 오전 00:00</v>
      </c>
      <c r="N96" s="273"/>
      <c r="O96" s="274"/>
      <c r="Q96" s="270"/>
      <c r="R96" s="270"/>
      <c r="S96" s="270"/>
    </row>
    <row r="97" spans="1:19" ht="17.25" thickBot="1">
      <c r="A97" s="294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75"/>
      <c r="R97" s="275"/>
      <c r="S97" s="275"/>
    </row>
    <row r="98" spans="1:19" ht="17.25" thickBot="1">
      <c r="A98" s="12" t="s">
        <v>202</v>
      </c>
      <c r="B98" s="13">
        <v>252</v>
      </c>
      <c r="C98" s="14">
        <v>0.1454545455</v>
      </c>
      <c r="D98" s="13">
        <v>257</v>
      </c>
      <c r="E98" s="14">
        <f>IF(ISNUMBER(D98), (D98 - $B98) / $B98, "")</f>
        <v>1.984126984126984E-2</v>
      </c>
      <c r="F98" s="16">
        <f>IF(ISNUMBER(D98), $B118 * E98, "")</f>
        <v>5952.3809523809523</v>
      </c>
      <c r="G98" s="29">
        <v>251</v>
      </c>
      <c r="H98" s="14">
        <f>IF(ISNUMBER(G98), (G98 - $B98) / $B98, "")</f>
        <v>-3.968253968253968E-3</v>
      </c>
      <c r="I98" s="96">
        <f>IF(ISNUMBER(G98), $B118 * H98, "")</f>
        <v>-1190.4761904761904</v>
      </c>
      <c r="J98" s="13">
        <v>253</v>
      </c>
      <c r="K98" s="14">
        <f>IF(ISNUMBER(J98), (J98 - $B98) / $B98, "")</f>
        <v>3.968253968253968E-3</v>
      </c>
      <c r="L98" s="16">
        <f>IF(ISNUMBER(J98), $B118 * K98, "")</f>
        <v>1190.4761904761904</v>
      </c>
      <c r="M98" s="29">
        <v>250</v>
      </c>
      <c r="N98" s="14">
        <f>IF(ISNUMBER(M98), (M98 - $B98) / $B98, "")</f>
        <v>-7.9365079365079361E-3</v>
      </c>
      <c r="O98" s="16">
        <f>IF(ISNUMBER(M98), $B118 * N98, "")</f>
        <v>-2380.9523809523807</v>
      </c>
      <c r="Q98" s="270"/>
      <c r="R98" s="270"/>
      <c r="S98" s="270"/>
    </row>
    <row r="99" spans="1:19" ht="17.25" thickBot="1">
      <c r="A99" s="17" t="s">
        <v>212</v>
      </c>
      <c r="B99" s="15">
        <v>181</v>
      </c>
      <c r="C99" s="32">
        <v>0.11042944790000001</v>
      </c>
      <c r="D99" s="15">
        <v>177</v>
      </c>
      <c r="E99" s="32">
        <f t="shared" ref="E99:E102" si="46">IF(ISNUMBER(D99), (D99 - $B99) / $B99, "")</f>
        <v>-2.2099447513812154E-2</v>
      </c>
      <c r="F99" s="18">
        <f>IF(ISNUMBER(D99), $B118 * E99, "")</f>
        <v>-6629.8342541436459</v>
      </c>
      <c r="G99" s="31">
        <v>178</v>
      </c>
      <c r="H99" s="32">
        <f t="shared" ref="H99:H102" si="47">IF(ISNUMBER(G99), (G99 - $B99) / $B99, "")</f>
        <v>-1.6574585635359115E-2</v>
      </c>
      <c r="I99" s="97">
        <f>IF(ISNUMBER(G99), $B118 * H99, "")</f>
        <v>-4972.3756906077342</v>
      </c>
      <c r="J99" s="15">
        <v>180</v>
      </c>
      <c r="K99" s="32">
        <f t="shared" ref="K99:K102" si="48">IF(ISNUMBER(J99), (J99 - $B99) / $B99, "")</f>
        <v>-5.5248618784530384E-3</v>
      </c>
      <c r="L99" s="18">
        <f>IF(ISNUMBER(J99), $B118 * K99, "")</f>
        <v>-1657.4585635359115</v>
      </c>
      <c r="M99" s="31">
        <v>179</v>
      </c>
      <c r="N99" s="32">
        <f t="shared" ref="N99:N102" si="49">IF(ISNUMBER(M99), (M99 - $B99) / $B99, "")</f>
        <v>-1.1049723756906077E-2</v>
      </c>
      <c r="O99" s="18">
        <f>IF(ISNUMBER(M99), $B118 * N99, "")</f>
        <v>-3314.917127071823</v>
      </c>
      <c r="Q99" s="270"/>
      <c r="R99" s="270"/>
      <c r="S99" s="270"/>
    </row>
    <row r="100" spans="1:19" ht="17.25" thickBot="1">
      <c r="A100" s="17" t="s">
        <v>164</v>
      </c>
      <c r="B100" s="15">
        <v>29000</v>
      </c>
      <c r="C100" s="32">
        <v>8.0476900099999998E-2</v>
      </c>
      <c r="D100" s="15">
        <v>28930</v>
      </c>
      <c r="E100" s="32">
        <f t="shared" si="46"/>
        <v>-2.413793103448276E-3</v>
      </c>
      <c r="F100" s="18">
        <f>IF(ISNUMBER(D100), $B118 * E100, "")</f>
        <v>-724.13793103448279</v>
      </c>
      <c r="G100" s="31">
        <v>41500</v>
      </c>
      <c r="H100" s="32">
        <f t="shared" si="47"/>
        <v>0.43103448275862066</v>
      </c>
      <c r="I100" s="97">
        <f>IF(ISNUMBER(G100), $B118 * H100, "")</f>
        <v>129310.3448275862</v>
      </c>
      <c r="J100" s="15">
        <v>41630</v>
      </c>
      <c r="K100" s="32">
        <f t="shared" si="48"/>
        <v>0.43551724137931036</v>
      </c>
      <c r="L100" s="18">
        <f>IF(ISNUMBER(J100), $B118 * K100, "")</f>
        <v>130655.1724137931</v>
      </c>
      <c r="M100" s="31">
        <v>40760</v>
      </c>
      <c r="N100" s="32">
        <f t="shared" si="49"/>
        <v>0.40551724137931033</v>
      </c>
      <c r="O100" s="18">
        <f>IF(ISNUMBER(M100), $B118 * N100, "")</f>
        <v>121655.1724137931</v>
      </c>
      <c r="Q100" s="275"/>
      <c r="R100" s="275"/>
      <c r="S100" s="275"/>
    </row>
    <row r="101" spans="1:19" ht="17.25" thickBot="1">
      <c r="A101" s="17" t="s">
        <v>146</v>
      </c>
      <c r="B101" s="15">
        <v>19750</v>
      </c>
      <c r="C101" s="32">
        <v>6.8144943200000002E-2</v>
      </c>
      <c r="D101" s="15">
        <v>20490</v>
      </c>
      <c r="E101" s="32">
        <f t="shared" si="46"/>
        <v>3.7468354430379748E-2</v>
      </c>
      <c r="F101" s="18">
        <f>IF(ISNUMBER(D101), $B118 * E101, "")</f>
        <v>11240.506329113925</v>
      </c>
      <c r="G101" s="31">
        <v>20330</v>
      </c>
      <c r="H101" s="32">
        <f t="shared" si="47"/>
        <v>2.9367088607594936E-2</v>
      </c>
      <c r="I101" s="97">
        <f>IF(ISNUMBER(G101), $B118 * H101, "")</f>
        <v>8810.1265822784808</v>
      </c>
      <c r="J101" s="15">
        <v>20430</v>
      </c>
      <c r="K101" s="32">
        <f t="shared" si="48"/>
        <v>3.4430379746835445E-2</v>
      </c>
      <c r="L101" s="18">
        <f>IF(ISNUMBER(J101), $B118 * K101, "")</f>
        <v>10329.113924050633</v>
      </c>
      <c r="M101" s="31">
        <v>19910</v>
      </c>
      <c r="N101" s="32">
        <f t="shared" si="49"/>
        <v>8.1012658227848106E-3</v>
      </c>
      <c r="O101" s="18">
        <f>IF(ISNUMBER(M101), $B118 * N101, "")</f>
        <v>2430.3797468354433</v>
      </c>
      <c r="Q101" s="275"/>
      <c r="R101" s="275"/>
      <c r="S101" s="275"/>
    </row>
    <row r="102" spans="1:19" ht="17.25" thickBot="1">
      <c r="A102" s="19" t="s">
        <v>280</v>
      </c>
      <c r="B102" s="20">
        <v>1730</v>
      </c>
      <c r="C102" s="21">
        <v>6.1349693300000001E-2</v>
      </c>
      <c r="D102" s="20">
        <v>1800</v>
      </c>
      <c r="E102" s="21">
        <f t="shared" si="46"/>
        <v>4.046242774566474E-2</v>
      </c>
      <c r="F102" s="22">
        <f>IF(ISNUMBER(D102), $B118 * E102, "")</f>
        <v>12138.728323699423</v>
      </c>
      <c r="G102" s="30">
        <v>1865</v>
      </c>
      <c r="H102" s="21">
        <f t="shared" si="47"/>
        <v>7.8034682080924858E-2</v>
      </c>
      <c r="I102" s="101">
        <f>IF(ISNUMBER(G102), $B118 * H102, "")</f>
        <v>23410.404624277457</v>
      </c>
      <c r="J102" s="20">
        <v>1885</v>
      </c>
      <c r="K102" s="21">
        <f t="shared" si="48"/>
        <v>8.9595375722543349E-2</v>
      </c>
      <c r="L102" s="22">
        <f>IF(ISNUMBER(J102), $B118 * K102, "")</f>
        <v>26878.612716763004</v>
      </c>
      <c r="M102" s="30">
        <v>1825</v>
      </c>
      <c r="N102" s="21">
        <f t="shared" si="49"/>
        <v>5.4913294797687862E-2</v>
      </c>
      <c r="O102" s="22">
        <f>IF(ISNUMBER(M102), $B118 * N102, "")</f>
        <v>16473.988439306358</v>
      </c>
      <c r="Q102" s="275"/>
      <c r="R102" s="275"/>
      <c r="S102" s="275"/>
    </row>
    <row r="103" spans="1:19" ht="17.25" thickBot="1">
      <c r="A103" s="17" t="s">
        <v>262</v>
      </c>
      <c r="B103" s="102">
        <v>1135</v>
      </c>
      <c r="C103" s="103">
        <v>6.0747663600000001E-2</v>
      </c>
      <c r="D103" s="102">
        <v>1125</v>
      </c>
      <c r="E103" s="103">
        <f>IF(ISNUMBER(D103), (D103 - $B103) / $B103, "")</f>
        <v>-8.8105726872246704E-3</v>
      </c>
      <c r="F103" s="104">
        <f>IF(ISNUMBER(D103), $B118 * E103, "")</f>
        <v>-2643.171806167401</v>
      </c>
      <c r="G103" s="105">
        <v>1165</v>
      </c>
      <c r="H103" s="103">
        <f>IF(ISNUMBER(G103), (G103 - $B103) / $B103, "")</f>
        <v>2.643171806167401E-2</v>
      </c>
      <c r="I103" s="106">
        <f>IF(ISNUMBER(G103), $B118 * H103, "")</f>
        <v>7929.5154185022029</v>
      </c>
      <c r="J103" s="102">
        <v>1155</v>
      </c>
      <c r="K103" s="103">
        <f>IF(ISNUMBER(J103), (J103 - $B103) / $B103, "")</f>
        <v>1.7621145374449341E-2</v>
      </c>
      <c r="L103" s="104">
        <f>IF(ISNUMBER(J103), $B118 * K103, "")</f>
        <v>5286.3436123348019</v>
      </c>
      <c r="M103" s="105">
        <v>1140</v>
      </c>
      <c r="N103" s="103">
        <f>IF(ISNUMBER(M103), (M103 - $B103) / $B103, "")</f>
        <v>4.4052863436123352E-3</v>
      </c>
      <c r="O103" s="104">
        <f>IF(ISNUMBER(M103), $B118 * N103, "")</f>
        <v>1321.5859030837005</v>
      </c>
      <c r="Q103" s="275"/>
      <c r="R103" s="275"/>
      <c r="S103" s="275"/>
    </row>
    <row r="104" spans="1:19" ht="17.25" thickBot="1">
      <c r="A104" s="17" t="s">
        <v>152</v>
      </c>
      <c r="B104" s="15">
        <v>50</v>
      </c>
      <c r="C104" s="32">
        <v>4.8218029400000001E-2</v>
      </c>
      <c r="D104" s="15">
        <v>50.3</v>
      </c>
      <c r="E104" s="32">
        <f t="shared" ref="E104:E107" si="50">IF(ISNUMBER(D104), (D104 - $B104) / $B104, "")</f>
        <v>5.9999999999999429E-3</v>
      </c>
      <c r="F104" s="18">
        <f>IF(ISNUMBER(D104), $B118 * E104, "")</f>
        <v>1799.9999999999829</v>
      </c>
      <c r="G104" s="31">
        <v>50.3</v>
      </c>
      <c r="H104" s="32">
        <f t="shared" ref="H104:H107" si="51">IF(ISNUMBER(G104), (G104 - $B104) / $B104, "")</f>
        <v>5.9999999999999429E-3</v>
      </c>
      <c r="I104" s="97">
        <f>IF(ISNUMBER(G104), $B118 * H104, "")</f>
        <v>1799.9999999999829</v>
      </c>
      <c r="J104" s="15">
        <v>50.4</v>
      </c>
      <c r="K104" s="32">
        <f t="shared" ref="K104:K107" si="52">IF(ISNUMBER(J104), (J104 - $B104) / $B104, "")</f>
        <v>7.9999999999999724E-3</v>
      </c>
      <c r="L104" s="18">
        <f>IF(ISNUMBER(J104), $B118 * K104, "")</f>
        <v>2399.9999999999918</v>
      </c>
      <c r="M104" s="31">
        <v>49.8</v>
      </c>
      <c r="N104" s="32">
        <f t="shared" ref="N104:N107" si="53">IF(ISNUMBER(M104), (M104 - $B104) / $B104, "")</f>
        <v>-4.0000000000000565E-3</v>
      </c>
      <c r="O104" s="18">
        <f>IF(ISNUMBER(M104), $B118 * N104, "")</f>
        <v>-1200.0000000000168</v>
      </c>
      <c r="Q104" s="275"/>
      <c r="R104" s="275"/>
      <c r="S104" s="275"/>
    </row>
    <row r="105" spans="1:19" ht="17.25" thickBot="1">
      <c r="A105" s="17" t="s">
        <v>234</v>
      </c>
      <c r="B105" s="15">
        <v>1500</v>
      </c>
      <c r="C105" s="32">
        <v>4.5296167200000001E-2</v>
      </c>
      <c r="D105" s="15">
        <v>1465</v>
      </c>
      <c r="E105" s="32">
        <f t="shared" si="50"/>
        <v>-2.3333333333333334E-2</v>
      </c>
      <c r="F105" s="18">
        <f>IF(ISNUMBER(D105), $B118 * E105, "")</f>
        <v>-7000</v>
      </c>
      <c r="G105" s="31">
        <v>1485</v>
      </c>
      <c r="H105" s="32">
        <f t="shared" si="51"/>
        <v>-0.01</v>
      </c>
      <c r="I105" s="97">
        <f>IF(ISNUMBER(G105), $B118 * H105, "")</f>
        <v>-3000</v>
      </c>
      <c r="J105" s="15">
        <v>1500</v>
      </c>
      <c r="K105" s="32">
        <f t="shared" si="52"/>
        <v>0</v>
      </c>
      <c r="L105" s="18">
        <f>IF(ISNUMBER(J105), $B118 * K105, "")</f>
        <v>0</v>
      </c>
      <c r="M105" s="31">
        <v>1510</v>
      </c>
      <c r="N105" s="32">
        <f t="shared" si="53"/>
        <v>6.6666666666666671E-3</v>
      </c>
      <c r="O105" s="18">
        <f>IF(ISNUMBER(M105), $B118 * N105, "")</f>
        <v>2000.0000000000002</v>
      </c>
      <c r="Q105" s="275"/>
      <c r="R105" s="275"/>
      <c r="S105" s="275"/>
    </row>
    <row r="106" spans="1:19" ht="17.25" thickBot="1">
      <c r="A106" s="17" t="s">
        <v>132</v>
      </c>
      <c r="B106" s="15">
        <v>254</v>
      </c>
      <c r="C106" s="32">
        <v>4.5267489700000003E-2</v>
      </c>
      <c r="D106" s="15">
        <v>262</v>
      </c>
      <c r="E106" s="32">
        <f t="shared" si="50"/>
        <v>3.1496062992125984E-2</v>
      </c>
      <c r="F106" s="18">
        <f>IF(ISNUMBER(D106), $B118 * E106, "")</f>
        <v>9448.8188976377951</v>
      </c>
      <c r="G106" s="31">
        <v>263</v>
      </c>
      <c r="H106" s="32">
        <f t="shared" si="51"/>
        <v>3.5433070866141732E-2</v>
      </c>
      <c r="I106" s="97">
        <f>IF(ISNUMBER(G106), $B118 * H106, "")</f>
        <v>10629.92125984252</v>
      </c>
      <c r="J106" s="15">
        <v>265</v>
      </c>
      <c r="K106" s="32">
        <f t="shared" si="52"/>
        <v>4.3307086614173228E-2</v>
      </c>
      <c r="L106" s="18">
        <f>IF(ISNUMBER(J106), $B118 * K106, "")</f>
        <v>12992.125984251968</v>
      </c>
      <c r="M106" s="31">
        <v>258</v>
      </c>
      <c r="N106" s="32">
        <f t="shared" si="53"/>
        <v>1.5748031496062992E-2</v>
      </c>
      <c r="O106" s="18">
        <f>IF(ISNUMBER(M106), $B118 * N106, "")</f>
        <v>4724.4094488188975</v>
      </c>
      <c r="Q106" s="33"/>
      <c r="R106" s="33"/>
    </row>
    <row r="107" spans="1:19" ht="17.25" thickBot="1">
      <c r="A107" s="23" t="s">
        <v>230</v>
      </c>
      <c r="B107" s="24">
        <v>198</v>
      </c>
      <c r="C107" s="25">
        <v>4.21052632E-2</v>
      </c>
      <c r="D107" s="24">
        <v>202</v>
      </c>
      <c r="E107" s="25">
        <f t="shared" si="50"/>
        <v>2.0202020202020204E-2</v>
      </c>
      <c r="F107" s="100">
        <f>IF(ISNUMBER(D107), $B118 * E107, "")</f>
        <v>6060.606060606061</v>
      </c>
      <c r="G107" s="98">
        <v>202</v>
      </c>
      <c r="H107" s="25">
        <f t="shared" si="51"/>
        <v>2.0202020202020204E-2</v>
      </c>
      <c r="I107" s="99">
        <f>IF(ISNUMBER(G107), $B118 * H107, "")</f>
        <v>6060.606060606061</v>
      </c>
      <c r="J107" s="24">
        <v>203</v>
      </c>
      <c r="K107" s="25">
        <f t="shared" si="52"/>
        <v>2.5252525252525252E-2</v>
      </c>
      <c r="L107" s="100">
        <f>IF(ISNUMBER(J107), $B118 * K107, "")</f>
        <v>7575.757575757576</v>
      </c>
      <c r="M107" s="98">
        <v>200</v>
      </c>
      <c r="N107" s="25">
        <f t="shared" si="53"/>
        <v>1.0101010101010102E-2</v>
      </c>
      <c r="O107" s="100">
        <f>IF(ISNUMBER(M107), $B118 * N107, "")</f>
        <v>3030.3030303030305</v>
      </c>
      <c r="Q107" s="284"/>
      <c r="R107" s="285"/>
      <c r="S107" s="286"/>
    </row>
    <row r="108" spans="1:19">
      <c r="A108" s="12" t="s">
        <v>122</v>
      </c>
      <c r="B108" s="13">
        <v>130</v>
      </c>
      <c r="C108" s="14">
        <v>3.1746031700000003E-2</v>
      </c>
      <c r="D108" s="13">
        <v>136</v>
      </c>
      <c r="E108" s="14">
        <f>IF(ISNUMBER(D108), (D108 - $B108) / $B108, "")</f>
        <v>4.6153846153846156E-2</v>
      </c>
      <c r="F108" s="16">
        <f>IF(ISNUMBER(D108), $B118 * E108, "")</f>
        <v>13846.153846153848</v>
      </c>
      <c r="G108" s="29">
        <v>135</v>
      </c>
      <c r="H108" s="14">
        <f>IF(ISNUMBER(G108), (G108 - $B108) / $B108, "")</f>
        <v>3.8461538461538464E-2</v>
      </c>
      <c r="I108" s="96">
        <f>IF(ISNUMBER(G108), $B118 * H108, "")</f>
        <v>11538.461538461539</v>
      </c>
      <c r="J108" s="13">
        <v>136</v>
      </c>
      <c r="K108" s="14">
        <f>IF(ISNUMBER(J108), (J108 - $B108) / $B108, "")</f>
        <v>4.6153846153846156E-2</v>
      </c>
      <c r="L108" s="16">
        <f>IF(ISNUMBER(J108), $B118 * K108, "")</f>
        <v>13846.153846153848</v>
      </c>
      <c r="M108" s="29">
        <v>134</v>
      </c>
      <c r="N108" s="14">
        <f>IF(ISNUMBER(M108), (M108 - $B108) / $B108, "")</f>
        <v>3.0769230769230771E-2</v>
      </c>
      <c r="O108" s="16">
        <f>IF(ISNUMBER(M108), $B118 * N108, "")</f>
        <v>9230.7692307692305</v>
      </c>
      <c r="Q108" s="287"/>
      <c r="R108" s="288"/>
      <c r="S108" s="289"/>
    </row>
    <row r="109" spans="1:19" ht="17.25" thickBot="1">
      <c r="A109" s="17" t="s">
        <v>186</v>
      </c>
      <c r="B109" s="15">
        <v>27.8</v>
      </c>
      <c r="C109" s="32">
        <v>2.9629629599999999E-2</v>
      </c>
      <c r="D109" s="15">
        <v>30.5</v>
      </c>
      <c r="E109" s="32">
        <f t="shared" ref="E109:E112" si="54">IF(ISNUMBER(D109), (D109 - $B109) / $B109, "")</f>
        <v>9.7122302158273346E-2</v>
      </c>
      <c r="F109" s="18">
        <f>IF(ISNUMBER(D109), $B118 * E109, "")</f>
        <v>29136.690647482003</v>
      </c>
      <c r="G109" s="31">
        <v>30.1</v>
      </c>
      <c r="H109" s="32">
        <f t="shared" ref="H109:H112" si="55">IF(ISNUMBER(G109), (G109 - $B109) / $B109, "")</f>
        <v>8.2733812949640315E-2</v>
      </c>
      <c r="I109" s="97">
        <f>IF(ISNUMBER(G109), $B118 * H109, "")</f>
        <v>24820.143884892095</v>
      </c>
      <c r="J109" s="15">
        <v>30.6</v>
      </c>
      <c r="K109" s="32">
        <f t="shared" ref="K109:K112" si="56">IF(ISNUMBER(J109), (J109 - $B109) / $B109, "")</f>
        <v>0.10071942446043168</v>
      </c>
      <c r="L109" s="18">
        <f>IF(ISNUMBER(J109), $B118 * K109, "")</f>
        <v>30215.827338129504</v>
      </c>
      <c r="M109" s="31">
        <v>29.3</v>
      </c>
      <c r="N109" s="32">
        <f t="shared" ref="N109:N112" si="57">IF(ISNUMBER(M109), (M109 - $B109) / $B109, "")</f>
        <v>5.3956834532374098E-2</v>
      </c>
      <c r="O109" s="18">
        <f>IF(ISNUMBER(M109), $B118 * N109, "")</f>
        <v>16187.05035971223</v>
      </c>
      <c r="Q109" s="290"/>
      <c r="R109" s="291"/>
      <c r="S109" s="292"/>
    </row>
    <row r="110" spans="1:19" ht="17.25" thickBot="1">
      <c r="A110" s="17" t="s">
        <v>188</v>
      </c>
      <c r="B110" s="15">
        <v>18550</v>
      </c>
      <c r="C110" s="32">
        <v>2.9411764699999999E-2</v>
      </c>
      <c r="D110" s="15">
        <v>18670</v>
      </c>
      <c r="E110" s="32">
        <f t="shared" si="54"/>
        <v>6.4690026954177899E-3</v>
      </c>
      <c r="F110" s="18">
        <f>IF(ISNUMBER(D110), $B118 * E110, "")</f>
        <v>1940.700808625337</v>
      </c>
      <c r="G110" s="31">
        <v>19190</v>
      </c>
      <c r="H110" s="32">
        <f t="shared" si="55"/>
        <v>3.4501347708894882E-2</v>
      </c>
      <c r="I110" s="97">
        <f>IF(ISNUMBER(G110), $B118 * H110, "")</f>
        <v>10350.404312668465</v>
      </c>
      <c r="J110" s="15">
        <v>19380</v>
      </c>
      <c r="K110" s="32">
        <f t="shared" si="56"/>
        <v>4.4743935309973046E-2</v>
      </c>
      <c r="L110" s="18">
        <f>IF(ISNUMBER(J110), $B118 * K110, "")</f>
        <v>13423.180592991914</v>
      </c>
      <c r="M110" s="31">
        <v>18960</v>
      </c>
      <c r="N110" s="32">
        <f t="shared" si="57"/>
        <v>2.2102425876010783E-2</v>
      </c>
      <c r="O110" s="18">
        <f>IF(ISNUMBER(M110), $B118 * N110, "")</f>
        <v>6630.7277628032352</v>
      </c>
      <c r="Q110" s="275"/>
      <c r="R110" s="275"/>
      <c r="S110" s="275"/>
    </row>
    <row r="111" spans="1:19" ht="17.25" thickBot="1">
      <c r="A111" s="17" t="s">
        <v>63</v>
      </c>
      <c r="B111" s="15">
        <v>125150</v>
      </c>
      <c r="C111" s="32">
        <v>2.8771064499999999E-2</v>
      </c>
      <c r="D111" s="15">
        <v>133600</v>
      </c>
      <c r="E111" s="32">
        <f t="shared" si="54"/>
        <v>6.7518977227327207E-2</v>
      </c>
      <c r="F111" s="18">
        <f>IF(ISNUMBER(D111), $B118 * E111, "")</f>
        <v>20255.693168198162</v>
      </c>
      <c r="G111" s="31">
        <v>133050</v>
      </c>
      <c r="H111" s="32">
        <f t="shared" si="55"/>
        <v>6.3124250898921291E-2</v>
      </c>
      <c r="I111" s="97">
        <f>IF(ISNUMBER(G111), $B118 * H111, "")</f>
        <v>18937.275269676389</v>
      </c>
      <c r="J111" s="15">
        <v>134100</v>
      </c>
      <c r="K111" s="32">
        <f t="shared" si="56"/>
        <v>7.1514182980423488E-2</v>
      </c>
      <c r="L111" s="18">
        <f>IF(ISNUMBER(J111), $B118 * K111, "")</f>
        <v>21454.254894127047</v>
      </c>
      <c r="M111" s="31">
        <v>131200</v>
      </c>
      <c r="N111" s="32">
        <f t="shared" si="57"/>
        <v>4.8341989612465039E-2</v>
      </c>
      <c r="O111" s="18">
        <f>IF(ISNUMBER(M111), $B118 * N111, "")</f>
        <v>14502.596883739512</v>
      </c>
      <c r="Q111" s="270"/>
      <c r="R111" s="270"/>
      <c r="S111" s="270"/>
    </row>
    <row r="112" spans="1:19" ht="17.25" thickBot="1">
      <c r="A112" s="19" t="s">
        <v>228</v>
      </c>
      <c r="B112" s="20">
        <v>20.6</v>
      </c>
      <c r="C112" s="21">
        <v>2.4875621899999999E-2</v>
      </c>
      <c r="D112" s="20">
        <v>21.1</v>
      </c>
      <c r="E112" s="21">
        <f t="shared" si="54"/>
        <v>2.4271844660194174E-2</v>
      </c>
      <c r="F112" s="22">
        <f>IF(ISNUMBER(D112), $B118 * E112, "")</f>
        <v>7281.5533980582522</v>
      </c>
      <c r="G112" s="30">
        <v>21.3</v>
      </c>
      <c r="H112" s="21">
        <f t="shared" si="55"/>
        <v>3.3980582524271809E-2</v>
      </c>
      <c r="I112" s="101">
        <f>IF(ISNUMBER(G112), $B118 * H112, "")</f>
        <v>10194.174757281542</v>
      </c>
      <c r="J112" s="20">
        <v>21.3</v>
      </c>
      <c r="K112" s="21">
        <f t="shared" si="56"/>
        <v>3.3980582524271809E-2</v>
      </c>
      <c r="L112" s="22">
        <f>IF(ISNUMBER(J112), $B118 * K112, "")</f>
        <v>10194.174757281542</v>
      </c>
      <c r="M112" s="30">
        <v>21.1</v>
      </c>
      <c r="N112" s="21">
        <f t="shared" si="57"/>
        <v>2.4271844660194174E-2</v>
      </c>
      <c r="O112" s="22">
        <f>IF(ISNUMBER(M112), $B118 * N112, "")</f>
        <v>7281.5533980582522</v>
      </c>
      <c r="Q112" s="270"/>
      <c r="R112" s="270"/>
      <c r="S112" s="270"/>
    </row>
    <row r="113" spans="1:19" ht="17.25" thickBot="1">
      <c r="A113" s="17" t="s">
        <v>254</v>
      </c>
      <c r="B113" s="102">
        <v>96.1</v>
      </c>
      <c r="C113" s="103">
        <v>2.3429180000000001E-2</v>
      </c>
      <c r="D113" s="102">
        <v>95.9</v>
      </c>
      <c r="E113" s="103">
        <f>IF(ISNUMBER(D113), (D113 - $B113) / $B113, "")</f>
        <v>-2.0811654526533678E-3</v>
      </c>
      <c r="F113" s="104">
        <f>IF(ISNUMBER(D113), $B118 * E113, "")</f>
        <v>-624.34963579601038</v>
      </c>
      <c r="G113" s="105">
        <v>99.4</v>
      </c>
      <c r="H113" s="103">
        <f>IF(ISNUMBER(G113), (G113 - $B113) / $B113, "")</f>
        <v>3.4339229968782636E-2</v>
      </c>
      <c r="I113" s="106">
        <f>IF(ISNUMBER(G113), $B118 * H113, "")</f>
        <v>10301.768990634791</v>
      </c>
      <c r="J113" s="102">
        <v>98.7</v>
      </c>
      <c r="K113" s="103">
        <f>IF(ISNUMBER(J113), (J113 - $B113) / $B113, "")</f>
        <v>2.7055150884495408E-2</v>
      </c>
      <c r="L113" s="104">
        <f>IF(ISNUMBER(J113), $B118 * K113, "")</f>
        <v>8116.5452653486218</v>
      </c>
      <c r="M113" s="105">
        <v>99</v>
      </c>
      <c r="N113" s="103">
        <f>IF(ISNUMBER(M113), (M113 - $B113) / $B113, "")</f>
        <v>3.0176899063475607E-2</v>
      </c>
      <c r="O113" s="104">
        <f>IF(ISNUMBER(M113), $B118 * N113, "")</f>
        <v>9053.0697190426818</v>
      </c>
      <c r="Q113" s="275"/>
      <c r="R113" s="275"/>
      <c r="S113" s="275"/>
    </row>
    <row r="114" spans="1:19" ht="17.25" thickBot="1">
      <c r="A114" s="17" t="s">
        <v>268</v>
      </c>
      <c r="B114" s="15">
        <v>101</v>
      </c>
      <c r="C114" s="32">
        <v>2.2267206500000001E-2</v>
      </c>
      <c r="D114" s="15">
        <v>108</v>
      </c>
      <c r="E114" s="32">
        <f t="shared" ref="E114:E117" si="58">IF(ISNUMBER(D114), (D114 - $B114) / $B114, "")</f>
        <v>6.9306930693069313E-2</v>
      </c>
      <c r="F114" s="18">
        <f>IF(ISNUMBER(D114), $B118 * E114, "")</f>
        <v>20792.079207920793</v>
      </c>
      <c r="G114" s="31">
        <v>112</v>
      </c>
      <c r="H114" s="32">
        <f t="shared" ref="H114:H117" si="59">IF(ISNUMBER(G114), (G114 - $B114) / $B114, "")</f>
        <v>0.10891089108910891</v>
      </c>
      <c r="I114" s="97">
        <f>IF(ISNUMBER(G114), $B118 * H114, "")</f>
        <v>32673.267326732672</v>
      </c>
      <c r="J114" s="15">
        <v>112</v>
      </c>
      <c r="K114" s="32">
        <f t="shared" ref="K114:K117" si="60">IF(ISNUMBER(J114), (J114 - $B114) / $B114, "")</f>
        <v>0.10891089108910891</v>
      </c>
      <c r="L114" s="18">
        <f>IF(ISNUMBER(J114), $B118 * K114, "")</f>
        <v>32673.267326732672</v>
      </c>
      <c r="M114" s="31">
        <v>113</v>
      </c>
      <c r="N114" s="32">
        <f t="shared" ref="N114:N117" si="61">IF(ISNUMBER(M114), (M114 - $B114) / $B114, "")</f>
        <v>0.11881188118811881</v>
      </c>
      <c r="O114" s="18">
        <f>IF(ISNUMBER(M114), $B118 * N114, "")</f>
        <v>35643.564356435643</v>
      </c>
      <c r="Q114" s="275"/>
      <c r="R114" s="275"/>
      <c r="S114" s="275"/>
    </row>
    <row r="115" spans="1:19" ht="17.25" thickBot="1">
      <c r="A115" s="17" t="s">
        <v>112</v>
      </c>
      <c r="B115" s="15">
        <v>283</v>
      </c>
      <c r="C115" s="32">
        <v>1.43369176E-2</v>
      </c>
      <c r="D115" s="15">
        <v>289</v>
      </c>
      <c r="E115" s="32">
        <f t="shared" si="58"/>
        <v>2.1201413427561839E-2</v>
      </c>
      <c r="F115" s="18">
        <f>IF(ISNUMBER(D115), $B118 * E115, "")</f>
        <v>6360.4240282685514</v>
      </c>
      <c r="G115" s="31">
        <v>294</v>
      </c>
      <c r="H115" s="32">
        <f t="shared" si="59"/>
        <v>3.8869257950530034E-2</v>
      </c>
      <c r="I115" s="97">
        <f>IF(ISNUMBER(G115), $B118 * H115, "")</f>
        <v>11660.77738515901</v>
      </c>
      <c r="J115" s="15">
        <v>294</v>
      </c>
      <c r="K115" s="32">
        <f t="shared" si="60"/>
        <v>3.8869257950530034E-2</v>
      </c>
      <c r="L115" s="18">
        <f>IF(ISNUMBER(J115), $B118 * K115, "")</f>
        <v>11660.77738515901</v>
      </c>
      <c r="M115" s="31">
        <v>289</v>
      </c>
      <c r="N115" s="32">
        <f t="shared" si="61"/>
        <v>2.1201413427561839E-2</v>
      </c>
      <c r="O115" s="18">
        <f>IF(ISNUMBER(M115), $B118 * N115, "")</f>
        <v>6360.4240282685514</v>
      </c>
      <c r="Q115" s="275"/>
      <c r="R115" s="275"/>
      <c r="S115" s="275"/>
    </row>
    <row r="116" spans="1:19">
      <c r="A116" s="17" t="s">
        <v>90</v>
      </c>
      <c r="B116" s="15">
        <v>400700</v>
      </c>
      <c r="C116" s="32">
        <v>1.41736269E-2</v>
      </c>
      <c r="D116" s="15">
        <v>407200</v>
      </c>
      <c r="E116" s="32">
        <f t="shared" si="58"/>
        <v>1.6221612178687297E-2</v>
      </c>
      <c r="F116" s="18">
        <f>IF(ISNUMBER(D116), $B118 * E116, "")</f>
        <v>4866.4836536061894</v>
      </c>
      <c r="G116" s="31">
        <v>422000</v>
      </c>
      <c r="H116" s="32">
        <f t="shared" si="59"/>
        <v>5.3156975293236833E-2</v>
      </c>
      <c r="I116" s="97">
        <f>IF(ISNUMBER(G116), $B118 * H116, "")</f>
        <v>15947.09258797105</v>
      </c>
      <c r="J116" s="15">
        <v>424700</v>
      </c>
      <c r="K116" s="32">
        <f t="shared" si="60"/>
        <v>5.989518342899925E-2</v>
      </c>
      <c r="L116" s="18">
        <f>IF(ISNUMBER(J116), $B118 * K116, "")</f>
        <v>17968.555028699775</v>
      </c>
      <c r="M116" s="31">
        <v>420700</v>
      </c>
      <c r="N116" s="32">
        <f t="shared" si="61"/>
        <v>4.9912652857499379E-2</v>
      </c>
      <c r="O116" s="18">
        <f>IF(ISNUMBER(M116), $B118 * N116, "")</f>
        <v>14973.795857249814</v>
      </c>
      <c r="Q116" s="297"/>
      <c r="R116" s="298"/>
      <c r="S116" s="299"/>
    </row>
    <row r="117" spans="1:19" ht="17.25" thickBot="1">
      <c r="A117" s="23" t="s">
        <v>208</v>
      </c>
      <c r="B117" s="24">
        <v>540</v>
      </c>
      <c r="C117" s="25">
        <v>1.3133208299999999E-2</v>
      </c>
      <c r="D117" s="24">
        <v>546</v>
      </c>
      <c r="E117" s="25">
        <f t="shared" si="58"/>
        <v>1.1111111111111112E-2</v>
      </c>
      <c r="F117" s="100">
        <f>IF(ISNUMBER(D117), $B118 * E117, "")</f>
        <v>3333.3333333333335</v>
      </c>
      <c r="G117" s="98">
        <v>557</v>
      </c>
      <c r="H117" s="25">
        <f t="shared" si="59"/>
        <v>3.1481481481481478E-2</v>
      </c>
      <c r="I117" s="99">
        <f>IF(ISNUMBER(G117), $B118 * H117, "")</f>
        <v>9444.4444444444434</v>
      </c>
      <c r="J117" s="24">
        <v>562</v>
      </c>
      <c r="K117" s="25">
        <f t="shared" si="60"/>
        <v>4.0740740740740744E-2</v>
      </c>
      <c r="L117" s="100">
        <f>IF(ISNUMBER(J117), $B118 * K117, "")</f>
        <v>12222.222222222223</v>
      </c>
      <c r="M117" s="98">
        <v>550</v>
      </c>
      <c r="N117" s="25">
        <f t="shared" si="61"/>
        <v>1.8518518518518517E-2</v>
      </c>
      <c r="O117" s="100">
        <f>IF(ISNUMBER(M117), $B118 * N117, "")</f>
        <v>5555.5555555555557</v>
      </c>
      <c r="Q117" s="300"/>
      <c r="R117" s="301"/>
      <c r="S117" s="302"/>
    </row>
    <row r="118" spans="1:19" ht="17.25" thickBot="1">
      <c r="A118" s="26" t="s">
        <v>301</v>
      </c>
      <c r="B118" s="306">
        <f>$B$37</f>
        <v>300000</v>
      </c>
      <c r="C118" s="307"/>
      <c r="D118" s="26" t="s">
        <v>302</v>
      </c>
      <c r="E118" s="27">
        <f>IF(COUNT(E98:E117), SUM(E98:E117) / COUNT(E98:E117), 0)</f>
        <v>2.2805443171323846E-2</v>
      </c>
      <c r="F118" s="28">
        <f>SUM(F98:F117)</f>
        <v>136832.65902794307</v>
      </c>
      <c r="G118" s="26" t="s">
        <v>302</v>
      </c>
      <c r="H118" s="27">
        <f>IF(COUNT(H98:H117), SUM(H98:H117) / COUNT(H98:H117), 0)</f>
        <v>5.577597956498849E-2</v>
      </c>
      <c r="I118" s="28">
        <f>SUM(I98:I117)</f>
        <v>334655.87738993095</v>
      </c>
      <c r="J118" s="26" t="s">
        <v>302</v>
      </c>
      <c r="K118" s="27">
        <f>IF(COUNT(K98:K117), SUM(K98:K117) / COUNT(K98:K117), 0)</f>
        <v>6.1237517085122928E-2</v>
      </c>
      <c r="L118" s="28">
        <f>SUM(L98:L117)</f>
        <v>367425.10251073749</v>
      </c>
      <c r="M118" s="26" t="s">
        <v>302</v>
      </c>
      <c r="N118" s="27">
        <f>IF(COUNT(N98:N117), SUM(N98:N117) / COUNT(N98:N117), 0)</f>
        <v>4.5026512770958503E-2</v>
      </c>
      <c r="O118" s="28">
        <f>SUM(O98:O117)</f>
        <v>270159.07662575098</v>
      </c>
      <c r="Q118" s="303"/>
      <c r="R118" s="304"/>
      <c r="S118" s="305"/>
    </row>
    <row r="120" spans="1:19" ht="17.25" thickBot="1"/>
    <row r="121" spans="1:19" ht="17.25" thickBot="1">
      <c r="A121" s="249" t="s">
        <v>288</v>
      </c>
      <c r="B121" s="250"/>
      <c r="C121" s="250"/>
      <c r="D121" s="250"/>
      <c r="E121" s="250"/>
      <c r="F121" s="250"/>
      <c r="G121" s="250"/>
      <c r="H121" s="250"/>
      <c r="I121" s="250"/>
      <c r="J121" s="250"/>
      <c r="K121" s="250"/>
      <c r="L121" s="250"/>
      <c r="M121" s="250"/>
      <c r="N121" s="250"/>
      <c r="O121" s="251"/>
      <c r="Q121" s="270"/>
      <c r="R121" s="270"/>
      <c r="S121" s="270"/>
    </row>
    <row r="122" spans="1:19" ht="17.25" thickBot="1">
      <c r="A122" s="107" t="s">
        <v>298</v>
      </c>
      <c r="B122" s="249" t="s">
        <v>49</v>
      </c>
      <c r="C122" s="251"/>
      <c r="D122" s="249" t="s">
        <v>58</v>
      </c>
      <c r="E122" s="250"/>
      <c r="F122" s="251"/>
      <c r="G122" s="276">
        <f>_xlfn.IFNA(VLOOKUP(B122, 현재가테이블!$B$2:$D$200, 2, FALSE), "-")</f>
        <v>60874000</v>
      </c>
      <c r="H122" s="277"/>
      <c r="I122" s="278"/>
      <c r="J122" s="249" t="s">
        <v>59</v>
      </c>
      <c r="K122" s="250"/>
      <c r="L122" s="251"/>
      <c r="M122" s="279">
        <f>_xlfn.IFNA(VLOOKUP(B122, 현재가테이블!$B$2:$D$200, 3, FALSE), "-")</f>
        <v>-1.4936000099999999E-2</v>
      </c>
      <c r="N122" s="280"/>
      <c r="O122" s="281"/>
      <c r="Q122" s="270"/>
      <c r="R122" s="270"/>
      <c r="S122" s="270"/>
    </row>
    <row r="123" spans="1:19" ht="17.25" thickBot="1">
      <c r="A123" s="293" t="s">
        <v>55</v>
      </c>
      <c r="B123" s="295" t="str">
        <f>TEXT($G$1, "[$-ko-KR]yyyy-mm-dd(ddd) ") &amp; "오전 00:00"</f>
        <v>2021-05-03(월) 오전 00:00</v>
      </c>
      <c r="C123" s="296"/>
      <c r="D123" s="272" t="str">
        <f>TEXT($G$1, "[$-ko-KR]yyyy-mm-dd(ddd) ") &amp; "오후 14:00"</f>
        <v>2021-05-03(월) 오후 14:00</v>
      </c>
      <c r="E123" s="273"/>
      <c r="F123" s="274"/>
      <c r="G123" s="272" t="str">
        <f>TEXT($G$1, "[$-ko-KR]yyyy-mm-dd(ddd) ") &amp; "오후 19:00"</f>
        <v>2021-05-03(월) 오후 19:00</v>
      </c>
      <c r="H123" s="273"/>
      <c r="I123" s="274"/>
      <c r="J123" s="272" t="str">
        <f>TEXT($G$1, "[$-ko-KR]yyyy-mm-dd(ddd) ") &amp; "오후 21:00"</f>
        <v>2021-05-03(월) 오후 21:00</v>
      </c>
      <c r="K123" s="273"/>
      <c r="L123" s="274"/>
      <c r="M123" s="272" t="str">
        <f>TEXT($G$1+1, "[$-ko-KR]yyyy-mm-dd(ddd) ") &amp; "오전 00:00"</f>
        <v>2021-05-04(화) 오전 00:00</v>
      </c>
      <c r="N123" s="273"/>
      <c r="O123" s="274"/>
      <c r="Q123" s="270"/>
      <c r="R123" s="270"/>
      <c r="S123" s="270"/>
    </row>
    <row r="124" spans="1:19" ht="17.25" thickBot="1">
      <c r="A124" s="294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75"/>
      <c r="R124" s="275"/>
      <c r="S124" s="275"/>
    </row>
    <row r="125" spans="1:19" ht="17.25" thickBot="1">
      <c r="A125" s="12" t="s">
        <v>152</v>
      </c>
      <c r="B125" s="13">
        <v>50</v>
      </c>
      <c r="C125" s="14">
        <v>4.8218029400000001E-2</v>
      </c>
      <c r="D125" s="13">
        <v>50.3</v>
      </c>
      <c r="E125" s="14">
        <f>IF(ISNUMBER(D125), (D125 - $B125) / $B125, "")</f>
        <v>5.9999999999999429E-3</v>
      </c>
      <c r="F125" s="16">
        <f>IF(ISNUMBER(D125), $B145 * E125, "")</f>
        <v>1799.9999999999829</v>
      </c>
      <c r="G125" s="29">
        <v>50.3</v>
      </c>
      <c r="H125" s="14">
        <f>IF(ISNUMBER(G125), (G125 - $B125) / $B125, "")</f>
        <v>5.9999999999999429E-3</v>
      </c>
      <c r="I125" s="96">
        <f>IF(ISNUMBER(G125), $B145 * H125, "")</f>
        <v>1799.9999999999829</v>
      </c>
      <c r="J125" s="13">
        <v>50.4</v>
      </c>
      <c r="K125" s="14">
        <f>IF(ISNUMBER(J125), (J125 - $B125) / $B125, "")</f>
        <v>7.9999999999999724E-3</v>
      </c>
      <c r="L125" s="16">
        <f>IF(ISNUMBER(J125), $B145 * K125, "")</f>
        <v>2399.9999999999918</v>
      </c>
      <c r="M125" s="29">
        <v>49.8</v>
      </c>
      <c r="N125" s="14">
        <f>IF(ISNUMBER(M125), (M125 - $B125) / $B125, "")</f>
        <v>-4.0000000000000565E-3</v>
      </c>
      <c r="O125" s="16">
        <f>IF(ISNUMBER(M125), $B145 * N125, "")</f>
        <v>-1200.0000000000168</v>
      </c>
      <c r="Q125" s="270"/>
      <c r="R125" s="270"/>
      <c r="S125" s="270"/>
    </row>
    <row r="126" spans="1:19" ht="17.25" thickBot="1">
      <c r="A126" s="17" t="s">
        <v>186</v>
      </c>
      <c r="B126" s="15">
        <v>27.8</v>
      </c>
      <c r="C126" s="32">
        <v>2.9629629599999999E-2</v>
      </c>
      <c r="D126" s="15">
        <v>30.5</v>
      </c>
      <c r="E126" s="32">
        <f t="shared" ref="E126:E129" si="62">IF(ISNUMBER(D126), (D126 - $B126) / $B126, "")</f>
        <v>9.7122302158273346E-2</v>
      </c>
      <c r="F126" s="18">
        <f>IF(ISNUMBER(D126), $B145 * E126, "")</f>
        <v>29136.690647482003</v>
      </c>
      <c r="G126" s="31">
        <v>30.1</v>
      </c>
      <c r="H126" s="32">
        <f t="shared" ref="H126:H129" si="63">IF(ISNUMBER(G126), (G126 - $B126) / $B126, "")</f>
        <v>8.2733812949640315E-2</v>
      </c>
      <c r="I126" s="97">
        <f>IF(ISNUMBER(G126), $B145 * H126, "")</f>
        <v>24820.143884892095</v>
      </c>
      <c r="J126" s="15">
        <v>30.6</v>
      </c>
      <c r="K126" s="32">
        <f t="shared" ref="K126:K129" si="64">IF(ISNUMBER(J126), (J126 - $B126) / $B126, "")</f>
        <v>0.10071942446043168</v>
      </c>
      <c r="L126" s="18">
        <f>IF(ISNUMBER(J126), $B145 * K126, "")</f>
        <v>30215.827338129504</v>
      </c>
      <c r="M126" s="31">
        <v>29.3</v>
      </c>
      <c r="N126" s="32">
        <f t="shared" ref="N126:N129" si="65">IF(ISNUMBER(M126), (M126 - $B126) / $B126, "")</f>
        <v>5.3956834532374098E-2</v>
      </c>
      <c r="O126" s="18">
        <f>IF(ISNUMBER(M126), $B145 * N126, "")</f>
        <v>16187.05035971223</v>
      </c>
      <c r="Q126" s="270"/>
      <c r="R126" s="270"/>
      <c r="S126" s="270"/>
    </row>
    <row r="127" spans="1:19" ht="17.25" thickBot="1">
      <c r="A127" s="17" t="s">
        <v>228</v>
      </c>
      <c r="B127" s="15">
        <v>20.6</v>
      </c>
      <c r="C127" s="32">
        <v>2.4875621899999999E-2</v>
      </c>
      <c r="D127" s="15">
        <v>21.1</v>
      </c>
      <c r="E127" s="32">
        <f t="shared" si="62"/>
        <v>2.4271844660194174E-2</v>
      </c>
      <c r="F127" s="18">
        <f>IF(ISNUMBER(D127), $B145 * E127, "")</f>
        <v>7281.5533980582522</v>
      </c>
      <c r="G127" s="31">
        <v>21.3</v>
      </c>
      <c r="H127" s="32">
        <f t="shared" si="63"/>
        <v>3.3980582524271809E-2</v>
      </c>
      <c r="I127" s="97">
        <f>IF(ISNUMBER(G127), $B145 * H127, "")</f>
        <v>10194.174757281542</v>
      </c>
      <c r="J127" s="15">
        <v>21.3</v>
      </c>
      <c r="K127" s="32">
        <f t="shared" si="64"/>
        <v>3.3980582524271809E-2</v>
      </c>
      <c r="L127" s="18">
        <f>IF(ISNUMBER(J127), $B145 * K127, "")</f>
        <v>10194.174757281542</v>
      </c>
      <c r="M127" s="31">
        <v>21.1</v>
      </c>
      <c r="N127" s="32">
        <f t="shared" si="65"/>
        <v>2.4271844660194174E-2</v>
      </c>
      <c r="O127" s="18">
        <f>IF(ISNUMBER(M127), $B145 * N127, "")</f>
        <v>7281.5533980582522</v>
      </c>
      <c r="Q127" s="275"/>
      <c r="R127" s="275"/>
      <c r="S127" s="275"/>
    </row>
    <row r="128" spans="1:19" ht="17.25" thickBot="1">
      <c r="A128" s="17" t="s">
        <v>254</v>
      </c>
      <c r="B128" s="15">
        <v>96.1</v>
      </c>
      <c r="C128" s="32">
        <v>2.3429180000000001E-2</v>
      </c>
      <c r="D128" s="15">
        <v>95.9</v>
      </c>
      <c r="E128" s="32">
        <f t="shared" si="62"/>
        <v>-2.0811654526533678E-3</v>
      </c>
      <c r="F128" s="18">
        <f>IF(ISNUMBER(D128), $B145 * E128, "")</f>
        <v>-624.34963579601038</v>
      </c>
      <c r="G128" s="31">
        <v>99.4</v>
      </c>
      <c r="H128" s="32">
        <f t="shared" si="63"/>
        <v>3.4339229968782636E-2</v>
      </c>
      <c r="I128" s="97">
        <f>IF(ISNUMBER(G128), $B145 * H128, "")</f>
        <v>10301.768990634791</v>
      </c>
      <c r="J128" s="15">
        <v>98.7</v>
      </c>
      <c r="K128" s="32">
        <f t="shared" si="64"/>
        <v>2.7055150884495408E-2</v>
      </c>
      <c r="L128" s="18">
        <f>IF(ISNUMBER(J128), $B145 * K128, "")</f>
        <v>8116.5452653486218</v>
      </c>
      <c r="M128" s="31">
        <v>99</v>
      </c>
      <c r="N128" s="32">
        <f t="shared" si="65"/>
        <v>3.0176899063475607E-2</v>
      </c>
      <c r="O128" s="18">
        <f>IF(ISNUMBER(M128), $B145 * N128, "")</f>
        <v>9053.0697190426818</v>
      </c>
      <c r="Q128" s="275"/>
      <c r="R128" s="275"/>
      <c r="S128" s="275"/>
    </row>
    <row r="129" spans="1:19" ht="17.25" thickBot="1">
      <c r="A129" s="19" t="s">
        <v>172</v>
      </c>
      <c r="B129" s="20">
        <v>28.5</v>
      </c>
      <c r="C129" s="21">
        <v>3.5211268000000001E-3</v>
      </c>
      <c r="D129" s="20">
        <v>28.6</v>
      </c>
      <c r="E129" s="21">
        <f t="shared" si="62"/>
        <v>3.5087719298246113E-3</v>
      </c>
      <c r="F129" s="22">
        <f>IF(ISNUMBER(D129), $B145 * E129, "")</f>
        <v>1052.6315789473833</v>
      </c>
      <c r="G129" s="30">
        <v>28.9</v>
      </c>
      <c r="H129" s="21">
        <f t="shared" si="63"/>
        <v>1.4035087719298196E-2</v>
      </c>
      <c r="I129" s="101">
        <f>IF(ISNUMBER(G129), $B145 * H129, "")</f>
        <v>4210.5263157894587</v>
      </c>
      <c r="J129" s="20">
        <v>28.9</v>
      </c>
      <c r="K129" s="21">
        <f t="shared" si="64"/>
        <v>1.4035087719298196E-2</v>
      </c>
      <c r="L129" s="22">
        <f>IF(ISNUMBER(J129), $B145 * K129, "")</f>
        <v>4210.5263157894587</v>
      </c>
      <c r="M129" s="30">
        <v>28.7</v>
      </c>
      <c r="N129" s="21">
        <f t="shared" si="65"/>
        <v>7.0175438596490978E-3</v>
      </c>
      <c r="O129" s="22">
        <f>IF(ISNUMBER(M129), $B145 * N129, "")</f>
        <v>2105.2631578947294</v>
      </c>
      <c r="Q129" s="275"/>
      <c r="R129" s="275"/>
      <c r="S129" s="275"/>
    </row>
    <row r="130" spans="1:19" ht="17.25" thickBot="1">
      <c r="A130" s="17" t="s">
        <v>214</v>
      </c>
      <c r="B130" s="102">
        <v>24.5</v>
      </c>
      <c r="C130" s="103">
        <v>0</v>
      </c>
      <c r="D130" s="102">
        <v>25.4</v>
      </c>
      <c r="E130" s="103">
        <f>IF(ISNUMBER(D130), (D130 - $B130) / $B130, "")</f>
        <v>3.6734693877550961E-2</v>
      </c>
      <c r="F130" s="104">
        <f>IF(ISNUMBER(D130), $B145 * E130, "")</f>
        <v>11020.408163265289</v>
      </c>
      <c r="G130" s="105">
        <v>25.4</v>
      </c>
      <c r="H130" s="103">
        <f>IF(ISNUMBER(G130), (G130 - $B130) / $B130, "")</f>
        <v>3.6734693877550961E-2</v>
      </c>
      <c r="I130" s="106">
        <f>IF(ISNUMBER(G130), $B145 * H130, "")</f>
        <v>11020.408163265289</v>
      </c>
      <c r="J130" s="102">
        <v>25.4</v>
      </c>
      <c r="K130" s="103">
        <f>IF(ISNUMBER(J130), (J130 - $B130) / $B130, "")</f>
        <v>3.6734693877550961E-2</v>
      </c>
      <c r="L130" s="104">
        <f>IF(ISNUMBER(J130), $B145 * K130, "")</f>
        <v>11020.408163265289</v>
      </c>
      <c r="M130" s="105">
        <v>25.3</v>
      </c>
      <c r="N130" s="103">
        <f>IF(ISNUMBER(M130), (M130 - $B130) / $B130, "")</f>
        <v>3.2653061224489827E-2</v>
      </c>
      <c r="O130" s="104">
        <f>IF(ISNUMBER(M130), $B145 * N130, "")</f>
        <v>9795.9183673469488</v>
      </c>
      <c r="Q130" s="275"/>
      <c r="R130" s="275"/>
      <c r="S130" s="275"/>
    </row>
    <row r="131" spans="1:19" ht="17.25" thickBot="1">
      <c r="A131" s="17" t="s">
        <v>222</v>
      </c>
      <c r="B131" s="15">
        <v>20.3</v>
      </c>
      <c r="C131" s="32">
        <v>-4.9019607999999998E-3</v>
      </c>
      <c r="D131" s="15">
        <v>21</v>
      </c>
      <c r="E131" s="32">
        <f t="shared" ref="E131:E134" si="66">IF(ISNUMBER(D131), (D131 - $B131) / $B131, "")</f>
        <v>3.448275862068962E-2</v>
      </c>
      <c r="F131" s="18">
        <f>IF(ISNUMBER(D131), $B145 * E131, "")</f>
        <v>10344.827586206886</v>
      </c>
      <c r="G131" s="31">
        <v>20.9</v>
      </c>
      <c r="H131" s="32">
        <f t="shared" ref="H131:H134" si="67">IF(ISNUMBER(G131), (G131 - $B131) / $B131, "")</f>
        <v>2.9556650246305313E-2</v>
      </c>
      <c r="I131" s="97">
        <f>IF(ISNUMBER(G131), $B145 * H131, "")</f>
        <v>8866.9950738915941</v>
      </c>
      <c r="J131" s="15">
        <v>21</v>
      </c>
      <c r="K131" s="32">
        <f t="shared" ref="K131:K134" si="68">IF(ISNUMBER(J131), (J131 - $B131) / $B131, "")</f>
        <v>3.448275862068962E-2</v>
      </c>
      <c r="L131" s="18">
        <f>IF(ISNUMBER(J131), $B145 * K131, "")</f>
        <v>10344.827586206886</v>
      </c>
      <c r="M131" s="31">
        <v>20.7</v>
      </c>
      <c r="N131" s="32">
        <f t="shared" ref="N131:N134" si="69">IF(ISNUMBER(M131), (M131 - $B131) / $B131, "")</f>
        <v>1.9704433497536877E-2</v>
      </c>
      <c r="O131" s="18">
        <f>IF(ISNUMBER(M131), $B145 * N131, "")</f>
        <v>5911.3300492610633</v>
      </c>
      <c r="Q131" s="275"/>
      <c r="R131" s="275"/>
      <c r="S131" s="275"/>
    </row>
    <row r="132" spans="1:19" ht="17.25" thickBot="1">
      <c r="A132" s="17" t="s">
        <v>154</v>
      </c>
      <c r="B132" s="15">
        <v>22.3</v>
      </c>
      <c r="C132" s="32">
        <v>-8.8888888999999992E-3</v>
      </c>
      <c r="D132" s="15">
        <v>24.7</v>
      </c>
      <c r="E132" s="32">
        <f t="shared" si="66"/>
        <v>0.10762331838565016</v>
      </c>
      <c r="F132" s="18">
        <f>IF(ISNUMBER(D132), $B145 * E132, "")</f>
        <v>32286.995515695049</v>
      </c>
      <c r="G132" s="31">
        <v>24.4</v>
      </c>
      <c r="H132" s="32">
        <f t="shared" si="67"/>
        <v>9.4170403587443843E-2</v>
      </c>
      <c r="I132" s="97">
        <f>IF(ISNUMBER(G132), $B145 * H132, "")</f>
        <v>28251.121076233154</v>
      </c>
      <c r="J132" s="15">
        <v>24.6</v>
      </c>
      <c r="K132" s="32">
        <f t="shared" si="68"/>
        <v>0.10313901345291483</v>
      </c>
      <c r="L132" s="18">
        <f>IF(ISNUMBER(J132), $B145 * K132, "")</f>
        <v>30941.704035874449</v>
      </c>
      <c r="M132" s="31">
        <v>24</v>
      </c>
      <c r="N132" s="32">
        <f t="shared" si="69"/>
        <v>7.6233183856502212E-2</v>
      </c>
      <c r="O132" s="18">
        <f>IF(ISNUMBER(M132), $B145 * N132, "")</f>
        <v>22869.955156950662</v>
      </c>
      <c r="Q132" s="275"/>
      <c r="R132" s="275"/>
      <c r="S132" s="275"/>
    </row>
    <row r="133" spans="1:19" ht="17.25" thickBot="1">
      <c r="A133" s="17" t="s">
        <v>220</v>
      </c>
      <c r="B133" s="15">
        <v>20.3</v>
      </c>
      <c r="C133" s="32">
        <v>-9.7560975999999994E-3</v>
      </c>
      <c r="D133" s="15">
        <v>22.5</v>
      </c>
      <c r="E133" s="32">
        <f t="shared" si="66"/>
        <v>0.10837438423645317</v>
      </c>
      <c r="F133" s="18">
        <f>IF(ISNUMBER(D133), $B145 * E133, "")</f>
        <v>32512.315270935949</v>
      </c>
      <c r="G133" s="31">
        <v>22.9</v>
      </c>
      <c r="H133" s="32">
        <f t="shared" si="67"/>
        <v>0.12807881773399005</v>
      </c>
      <c r="I133" s="97">
        <f>IF(ISNUMBER(G133), $B145 * H133, "")</f>
        <v>38423.645320197014</v>
      </c>
      <c r="J133" s="15">
        <v>23</v>
      </c>
      <c r="K133" s="32">
        <f t="shared" si="68"/>
        <v>0.13300492610837433</v>
      </c>
      <c r="L133" s="18">
        <f>IF(ISNUMBER(J133), $B145 * K133, "")</f>
        <v>39901.477832512297</v>
      </c>
      <c r="M133" s="31">
        <v>23.9</v>
      </c>
      <c r="N133" s="32">
        <f t="shared" si="69"/>
        <v>0.17733990147783241</v>
      </c>
      <c r="O133" s="18">
        <f>IF(ISNUMBER(M133), $B145 * N133, "")</f>
        <v>53201.970443349725</v>
      </c>
      <c r="Q133" s="33"/>
      <c r="R133" s="33"/>
    </row>
    <row r="134" spans="1:19" ht="17.25" thickBot="1">
      <c r="A134" s="23" t="s">
        <v>266</v>
      </c>
      <c r="B134" s="24">
        <v>95.4</v>
      </c>
      <c r="C134" s="25">
        <v>-1.0373444000000001E-2</v>
      </c>
      <c r="D134" s="24">
        <v>96</v>
      </c>
      <c r="E134" s="25">
        <f t="shared" si="66"/>
        <v>6.2893081761005686E-3</v>
      </c>
      <c r="F134" s="100">
        <f>IF(ISNUMBER(D134), $B145 * E134, "")</f>
        <v>1886.7924528301705</v>
      </c>
      <c r="G134" s="98">
        <v>98.4</v>
      </c>
      <c r="H134" s="25">
        <f t="shared" si="67"/>
        <v>3.1446540880503145E-2</v>
      </c>
      <c r="I134" s="99">
        <f>IF(ISNUMBER(G134), $B145 * H134, "")</f>
        <v>9433.9622641509432</v>
      </c>
      <c r="J134" s="24">
        <v>98.9</v>
      </c>
      <c r="K134" s="25">
        <f t="shared" si="68"/>
        <v>3.668763102725367E-2</v>
      </c>
      <c r="L134" s="100">
        <f>IF(ISNUMBER(J134), $B145 * K134, "")</f>
        <v>11006.289308176101</v>
      </c>
      <c r="M134" s="98">
        <v>100</v>
      </c>
      <c r="N134" s="25">
        <f t="shared" si="69"/>
        <v>4.821802935010476E-2</v>
      </c>
      <c r="O134" s="100">
        <f>IF(ISNUMBER(M134), $B145 * N134, "")</f>
        <v>14465.408805031428</v>
      </c>
      <c r="Q134" s="284"/>
      <c r="R134" s="285"/>
      <c r="S134" s="286"/>
    </row>
    <row r="135" spans="1:19">
      <c r="A135" s="12" t="s">
        <v>236</v>
      </c>
      <c r="B135" s="13">
        <v>77.2</v>
      </c>
      <c r="C135" s="14">
        <v>-1.40485313E-2</v>
      </c>
      <c r="D135" s="13">
        <v>77.099999999999994</v>
      </c>
      <c r="E135" s="14">
        <f>IF(ISNUMBER(D135), (D135 - $B135) / $B135, "")</f>
        <v>-1.2953367875648773E-3</v>
      </c>
      <c r="F135" s="16">
        <f>IF(ISNUMBER(D135), $B145 * E135, "")</f>
        <v>-388.60103626946318</v>
      </c>
      <c r="G135" s="29">
        <v>78.2</v>
      </c>
      <c r="H135" s="14">
        <f>IF(ISNUMBER(G135), (G135 - $B135) / $B135, "")</f>
        <v>1.2953367875647668E-2</v>
      </c>
      <c r="I135" s="96">
        <f>IF(ISNUMBER(G135), $B145 * H135, "")</f>
        <v>3886.0103626943001</v>
      </c>
      <c r="J135" s="13">
        <v>78.599999999999994</v>
      </c>
      <c r="K135" s="14">
        <f>IF(ISNUMBER(J135), (J135 - $B135) / $B135, "")</f>
        <v>1.8134715025906623E-2</v>
      </c>
      <c r="L135" s="16">
        <f>IF(ISNUMBER(J135), $B145 * K135, "")</f>
        <v>5440.4145077719868</v>
      </c>
      <c r="M135" s="29">
        <v>78.400000000000006</v>
      </c>
      <c r="N135" s="14">
        <f>IF(ISNUMBER(M135), (M135 - $B135) / $B135, "")</f>
        <v>1.5544041450777238E-2</v>
      </c>
      <c r="O135" s="16">
        <f>IF(ISNUMBER(M135), $B145 * N135, "")</f>
        <v>4663.2124352331712</v>
      </c>
      <c r="Q135" s="287"/>
      <c r="R135" s="288"/>
      <c r="S135" s="289"/>
    </row>
    <row r="136" spans="1:19" ht="17.25" thickBot="1">
      <c r="A136" s="17" t="s">
        <v>218</v>
      </c>
      <c r="B136" s="15">
        <v>32.1</v>
      </c>
      <c r="C136" s="32">
        <v>-1.53374233E-2</v>
      </c>
      <c r="D136" s="15">
        <v>32.9</v>
      </c>
      <c r="E136" s="32">
        <f t="shared" ref="E136:E139" si="70">IF(ISNUMBER(D136), (D136 - $B136) / $B136, "")</f>
        <v>2.4922118380062214E-2</v>
      </c>
      <c r="F136" s="18">
        <f>IF(ISNUMBER(D136), $B145 * E136, "")</f>
        <v>7476.6355140186643</v>
      </c>
      <c r="G136" s="31">
        <v>33.1</v>
      </c>
      <c r="H136" s="32">
        <f t="shared" ref="H136:H139" si="71">IF(ISNUMBER(G136), (G136 - $B136) / $B136, "")</f>
        <v>3.1152647975077882E-2</v>
      </c>
      <c r="I136" s="97">
        <f>IF(ISNUMBER(G136), $B145 * H136, "")</f>
        <v>9345.7943925233649</v>
      </c>
      <c r="J136" s="15">
        <v>33.200000000000003</v>
      </c>
      <c r="K136" s="32">
        <f t="shared" ref="K136:K139" si="72">IF(ISNUMBER(J136), (J136 - $B136) / $B136, "")</f>
        <v>3.4267912772585715E-2</v>
      </c>
      <c r="L136" s="18">
        <f>IF(ISNUMBER(J136), $B145 * K136, "")</f>
        <v>10280.373831775714</v>
      </c>
      <c r="M136" s="31">
        <v>32.799999999999997</v>
      </c>
      <c r="N136" s="32">
        <f t="shared" ref="N136:N139" si="73">IF(ISNUMBER(M136), (M136 - $B136) / $B136, "")</f>
        <v>2.1806853582554384E-2</v>
      </c>
      <c r="O136" s="18">
        <f>IF(ISNUMBER(M136), $B145 * N136, "")</f>
        <v>6542.0560747663149</v>
      </c>
      <c r="Q136" s="290"/>
      <c r="R136" s="291"/>
      <c r="S136" s="292"/>
    </row>
    <row r="137" spans="1:19" ht="17.25" thickBot="1">
      <c r="A137" s="17" t="s">
        <v>198</v>
      </c>
      <c r="B137" s="15">
        <v>31.6</v>
      </c>
      <c r="C137" s="32">
        <v>-1.5576324000000001E-2</v>
      </c>
      <c r="D137" s="15">
        <v>32.4</v>
      </c>
      <c r="E137" s="32">
        <f t="shared" si="70"/>
        <v>2.5316455696202441E-2</v>
      </c>
      <c r="F137" s="18">
        <f>IF(ISNUMBER(D137), $B145 * E137, "")</f>
        <v>7594.9367088607323</v>
      </c>
      <c r="G137" s="31">
        <v>32.700000000000003</v>
      </c>
      <c r="H137" s="32">
        <f t="shared" si="71"/>
        <v>3.4810126582278528E-2</v>
      </c>
      <c r="I137" s="97">
        <f>IF(ISNUMBER(G137), $B145 * H137, "")</f>
        <v>10443.037974683559</v>
      </c>
      <c r="J137" s="15">
        <v>32.700000000000003</v>
      </c>
      <c r="K137" s="32">
        <f t="shared" si="72"/>
        <v>3.4810126582278528E-2</v>
      </c>
      <c r="L137" s="18">
        <f>IF(ISNUMBER(J137), $B145 * K137, "")</f>
        <v>10443.037974683559</v>
      </c>
      <c r="M137" s="31">
        <v>32.4</v>
      </c>
      <c r="N137" s="32">
        <f t="shared" si="73"/>
        <v>2.5316455696202441E-2</v>
      </c>
      <c r="O137" s="18">
        <f>IF(ISNUMBER(M137), $B145 * N137, "")</f>
        <v>7594.9367088607323</v>
      </c>
      <c r="Q137" s="275"/>
      <c r="R137" s="275"/>
      <c r="S137" s="275"/>
    </row>
    <row r="138" spans="1:19" ht="17.25" thickBot="1">
      <c r="A138" s="17" t="s">
        <v>196</v>
      </c>
      <c r="B138" s="15">
        <v>21.8</v>
      </c>
      <c r="C138" s="32">
        <v>-2.2421524700000001E-2</v>
      </c>
      <c r="D138" s="15">
        <v>22.6</v>
      </c>
      <c r="E138" s="32">
        <f t="shared" si="70"/>
        <v>3.6697247706422048E-2</v>
      </c>
      <c r="F138" s="18">
        <f>IF(ISNUMBER(D138), $B145 * E138, "")</f>
        <v>11009.174311926614</v>
      </c>
      <c r="G138" s="31">
        <v>22.8</v>
      </c>
      <c r="H138" s="32">
        <f t="shared" si="71"/>
        <v>4.5871559633027519E-2</v>
      </c>
      <c r="I138" s="97">
        <f>IF(ISNUMBER(G138), $B145 * H138, "")</f>
        <v>13761.467889908256</v>
      </c>
      <c r="J138" s="15">
        <v>22.9</v>
      </c>
      <c r="K138" s="32">
        <f t="shared" si="72"/>
        <v>5.0458715596330174E-2</v>
      </c>
      <c r="L138" s="18">
        <f>IF(ISNUMBER(J138), $B145 * K138, "")</f>
        <v>15137.614678899052</v>
      </c>
      <c r="M138" s="31">
        <v>22.6</v>
      </c>
      <c r="N138" s="32">
        <f t="shared" si="73"/>
        <v>3.6697247706422048E-2</v>
      </c>
      <c r="O138" s="18">
        <f>IF(ISNUMBER(M138), $B145 * N138, "")</f>
        <v>11009.174311926614</v>
      </c>
      <c r="Q138" s="270"/>
      <c r="R138" s="270"/>
      <c r="S138" s="270"/>
    </row>
    <row r="139" spans="1:19" ht="17.25" thickBot="1">
      <c r="A139" s="19" t="s">
        <v>100</v>
      </c>
      <c r="B139" s="20">
        <v>8.44</v>
      </c>
      <c r="C139" s="21">
        <v>-2.3148148100000002E-2</v>
      </c>
      <c r="D139" s="20">
        <v>8.5</v>
      </c>
      <c r="E139" s="21">
        <f t="shared" si="70"/>
        <v>7.1090047393365524E-3</v>
      </c>
      <c r="F139" s="22">
        <f>IF(ISNUMBER(D139), $B145 * E139, "")</f>
        <v>2132.7014218009658</v>
      </c>
      <c r="G139" s="30">
        <v>8.5399999999999991</v>
      </c>
      <c r="H139" s="21">
        <f t="shared" si="71"/>
        <v>1.1848341232227447E-2</v>
      </c>
      <c r="I139" s="101">
        <f>IF(ISNUMBER(G139), $B145 * H139, "")</f>
        <v>3554.5023696682342</v>
      </c>
      <c r="J139" s="20">
        <v>8.65</v>
      </c>
      <c r="K139" s="21">
        <f t="shared" si="72"/>
        <v>2.4881516587677826E-2</v>
      </c>
      <c r="L139" s="22">
        <f>IF(ISNUMBER(J139), $B145 * K139, "")</f>
        <v>7464.4549763033474</v>
      </c>
      <c r="M139" s="30">
        <v>8.4700000000000006</v>
      </c>
      <c r="N139" s="21">
        <f t="shared" si="73"/>
        <v>3.5545023696683812E-3</v>
      </c>
      <c r="O139" s="22">
        <f>IF(ISNUMBER(M139), $B145 * N139, "")</f>
        <v>1066.3507109005143</v>
      </c>
      <c r="Q139" s="270"/>
      <c r="R139" s="270"/>
      <c r="S139" s="270"/>
    </row>
    <row r="140" spans="1:19" ht="17.25" thickBot="1">
      <c r="A140" s="17" t="s">
        <v>72</v>
      </c>
      <c r="B140" s="102">
        <v>36.799999999999997</v>
      </c>
      <c r="C140" s="103">
        <v>-2.3872679000000001E-2</v>
      </c>
      <c r="D140" s="102">
        <v>37.6</v>
      </c>
      <c r="E140" s="103">
        <f>IF(ISNUMBER(D140), (D140 - $B140) / $B140, "")</f>
        <v>2.1739130434782726E-2</v>
      </c>
      <c r="F140" s="104">
        <f>IF(ISNUMBER(D140), $B145 * E140, "")</f>
        <v>6521.7391304348175</v>
      </c>
      <c r="G140" s="105">
        <v>38.5</v>
      </c>
      <c r="H140" s="103">
        <f>IF(ISNUMBER(G140), (G140 - $B140) / $B140, "")</f>
        <v>4.6195652173913124E-2</v>
      </c>
      <c r="I140" s="106">
        <f>IF(ISNUMBER(G140), $B145 * H140, "")</f>
        <v>13858.695652173938</v>
      </c>
      <c r="J140" s="102">
        <v>38.6</v>
      </c>
      <c r="K140" s="103">
        <f>IF(ISNUMBER(J140), (J140 - $B140) / $B140, "")</f>
        <v>4.891304347826099E-2</v>
      </c>
      <c r="L140" s="104">
        <f>IF(ISNUMBER(J140), $B145 * K140, "")</f>
        <v>14673.913043478296</v>
      </c>
      <c r="M140" s="105">
        <v>38.299999999999997</v>
      </c>
      <c r="N140" s="103">
        <f>IF(ISNUMBER(M140), (M140 - $B140) / $B140, "")</f>
        <v>4.0760869565217392E-2</v>
      </c>
      <c r="O140" s="104">
        <f>IF(ISNUMBER(M140), $B145 * N140, "")</f>
        <v>12228.260869565218</v>
      </c>
      <c r="Q140" s="275"/>
      <c r="R140" s="275"/>
      <c r="S140" s="275"/>
    </row>
    <row r="141" spans="1:19" ht="17.25" thickBot="1">
      <c r="A141" s="17" t="s">
        <v>65</v>
      </c>
      <c r="B141" s="15">
        <v>75.8</v>
      </c>
      <c r="C141" s="32">
        <v>-3.1928480199999998E-2</v>
      </c>
      <c r="D141" s="15">
        <v>78.900000000000006</v>
      </c>
      <c r="E141" s="32">
        <f t="shared" ref="E141:E144" si="74">IF(ISNUMBER(D141), (D141 - $B141) / $B141, "")</f>
        <v>4.0897097625329927E-2</v>
      </c>
      <c r="F141" s="18">
        <f>IF(ISNUMBER(D141), $B145 * E141, "")</f>
        <v>12269.129287598978</v>
      </c>
      <c r="G141" s="31">
        <v>79.2</v>
      </c>
      <c r="H141" s="32">
        <f t="shared" ref="H141:H144" si="75">IF(ISNUMBER(G141), (G141 - $B141) / $B141, "")</f>
        <v>4.4854881266490843E-2</v>
      </c>
      <c r="I141" s="97">
        <f>IF(ISNUMBER(G141), $B145 * H141, "")</f>
        <v>13456.464379947252</v>
      </c>
      <c r="J141" s="15">
        <v>80</v>
      </c>
      <c r="K141" s="32">
        <f t="shared" ref="K141:K144" si="76">IF(ISNUMBER(J141), (J141 - $B141) / $B141, "")</f>
        <v>5.5408970976253337E-2</v>
      </c>
      <c r="L141" s="18">
        <f>IF(ISNUMBER(J141), $B145 * K141, "")</f>
        <v>16622.691292875999</v>
      </c>
      <c r="M141" s="31">
        <v>80</v>
      </c>
      <c r="N141" s="32">
        <f t="shared" ref="N141:N144" si="77">IF(ISNUMBER(M141), (M141 - $B141) / $B141, "")</f>
        <v>5.5408970976253337E-2</v>
      </c>
      <c r="O141" s="18">
        <f>IF(ISNUMBER(M141), $B145 * N141, "")</f>
        <v>16622.691292875999</v>
      </c>
      <c r="Q141" s="275"/>
      <c r="R141" s="275"/>
      <c r="S141" s="275"/>
    </row>
    <row r="142" spans="1:19" ht="17.25" thickBot="1">
      <c r="A142" s="17" t="s">
        <v>126</v>
      </c>
      <c r="B142" s="15">
        <v>68.7</v>
      </c>
      <c r="C142" s="32">
        <v>-3.7815126099999999E-2</v>
      </c>
      <c r="D142" s="15">
        <v>69.2</v>
      </c>
      <c r="E142" s="32">
        <f t="shared" si="74"/>
        <v>7.2780203784570596E-3</v>
      </c>
      <c r="F142" s="18">
        <f>IF(ISNUMBER(D142), $B145 * E142, "")</f>
        <v>2183.406113537118</v>
      </c>
      <c r="G142" s="31">
        <v>69.400000000000006</v>
      </c>
      <c r="H142" s="32">
        <f t="shared" si="75"/>
        <v>1.0189228529839925E-2</v>
      </c>
      <c r="I142" s="97">
        <f>IF(ISNUMBER(G142), $B145 * H142, "")</f>
        <v>3056.7685589519774</v>
      </c>
      <c r="J142" s="15">
        <v>69.7</v>
      </c>
      <c r="K142" s="32">
        <f t="shared" si="76"/>
        <v>1.4556040756914119E-2</v>
      </c>
      <c r="L142" s="18">
        <f>IF(ISNUMBER(J142), $B145 * K142, "")</f>
        <v>4366.812227074236</v>
      </c>
      <c r="M142" s="31">
        <v>68.7</v>
      </c>
      <c r="N142" s="32">
        <f t="shared" si="77"/>
        <v>0</v>
      </c>
      <c r="O142" s="18">
        <f>IF(ISNUMBER(M142), $B145 * N142, "")</f>
        <v>0</v>
      </c>
      <c r="Q142" s="275"/>
      <c r="R142" s="275"/>
      <c r="S142" s="275"/>
    </row>
    <row r="143" spans="1:19">
      <c r="A143" s="17"/>
      <c r="B143" s="15"/>
      <c r="C143" s="32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97"/>
      <c r="R143" s="298"/>
      <c r="S143" s="299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00"/>
      <c r="R144" s="301"/>
      <c r="S144" s="302"/>
    </row>
    <row r="145" spans="1:19" ht="17.25" thickBot="1">
      <c r="A145" s="26" t="s">
        <v>301</v>
      </c>
      <c r="B145" s="306">
        <f>$B$37</f>
        <v>300000</v>
      </c>
      <c r="C145" s="307"/>
      <c r="D145" s="26" t="s">
        <v>302</v>
      </c>
      <c r="E145" s="27">
        <f>IF(COUNT(E125:E144), SUM(E125:E144) / COUNT(E125:E144), 0)</f>
        <v>3.2499441931395062E-2</v>
      </c>
      <c r="F145" s="28">
        <f>SUM(F125:F144)</f>
        <v>175496.9864295334</v>
      </c>
      <c r="G145" s="26" t="s">
        <v>302</v>
      </c>
      <c r="H145" s="27">
        <f>IF(COUNT(H125:H144), SUM(H125:H144) / COUNT(H125:H144), 0)</f>
        <v>4.0497312486460504E-2</v>
      </c>
      <c r="I145" s="28">
        <f>SUM(I125:I144)</f>
        <v>218685.48742688677</v>
      </c>
      <c r="J145" s="26" t="s">
        <v>302</v>
      </c>
      <c r="K145" s="27">
        <f>IF(COUNT(K125:K144), SUM(K125:K144) / COUNT(K125:K144), 0)</f>
        <v>4.4959461691749317E-2</v>
      </c>
      <c r="L145" s="28">
        <f>SUM(L125:L144)</f>
        <v>242781.09313544634</v>
      </c>
      <c r="M145" s="26" t="s">
        <v>302</v>
      </c>
      <c r="N145" s="27">
        <f>IF(COUNT(N125:N144), SUM(N125:N144) / COUNT(N125:N144), 0)</f>
        <v>3.6925592937180791E-2</v>
      </c>
      <c r="O145" s="28">
        <f>SUM(O125:O144)</f>
        <v>199398.20186077629</v>
      </c>
      <c r="Q145" s="303"/>
      <c r="R145" s="304"/>
      <c r="S145" s="305"/>
    </row>
    <row r="147" spans="1:19" ht="17.25" thickBot="1"/>
    <row r="148" spans="1:19" ht="17.25" thickBot="1">
      <c r="A148" s="249" t="s">
        <v>289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1"/>
      <c r="Q148" s="270"/>
      <c r="R148" s="270"/>
      <c r="S148" s="270"/>
    </row>
    <row r="149" spans="1:19" ht="17.25" thickBot="1">
      <c r="A149" s="107" t="s">
        <v>298</v>
      </c>
      <c r="B149" s="249" t="s">
        <v>49</v>
      </c>
      <c r="C149" s="251"/>
      <c r="D149" s="249" t="s">
        <v>58</v>
      </c>
      <c r="E149" s="250"/>
      <c r="F149" s="251"/>
      <c r="G149" s="276">
        <f>_xlfn.IFNA(VLOOKUP(B149, 현재가테이블!$B$2:$D$200, 2, FALSE), "-")</f>
        <v>60874000</v>
      </c>
      <c r="H149" s="277"/>
      <c r="I149" s="278"/>
      <c r="J149" s="249" t="s">
        <v>59</v>
      </c>
      <c r="K149" s="250"/>
      <c r="L149" s="251"/>
      <c r="M149" s="279">
        <f>_xlfn.IFNA(VLOOKUP(B149, 현재가테이블!$B$2:$D$200, 3, FALSE), "-")</f>
        <v>-1.4936000099999999E-2</v>
      </c>
      <c r="N149" s="280"/>
      <c r="O149" s="281"/>
      <c r="Q149" s="270"/>
      <c r="R149" s="270"/>
      <c r="S149" s="270"/>
    </row>
    <row r="150" spans="1:19" ht="17.25" thickBot="1">
      <c r="A150" s="293" t="s">
        <v>55</v>
      </c>
      <c r="B150" s="295" t="str">
        <f>TEXT($G$1, "[$-ko-KR]yyyy-mm-dd(ddd) ") &amp; "오전 00:00"</f>
        <v>2021-05-03(월) 오전 00:00</v>
      </c>
      <c r="C150" s="296"/>
      <c r="D150" s="272" t="str">
        <f>TEXT($G$1, "[$-ko-KR]yyyy-mm-dd(ddd) ") &amp; "오후 14:00"</f>
        <v>2021-05-03(월) 오후 14:00</v>
      </c>
      <c r="E150" s="273"/>
      <c r="F150" s="274"/>
      <c r="G150" s="272" t="str">
        <f>TEXT($G$1, "[$-ko-KR]yyyy-mm-dd(ddd) ") &amp; "오후 19:00"</f>
        <v>2021-05-03(월) 오후 19:00</v>
      </c>
      <c r="H150" s="273"/>
      <c r="I150" s="274"/>
      <c r="J150" s="272" t="str">
        <f>TEXT($G$1, "[$-ko-KR]yyyy-mm-dd(ddd) ") &amp; "오후 21:00"</f>
        <v>2021-05-03(월) 오후 21:00</v>
      </c>
      <c r="K150" s="273"/>
      <c r="L150" s="274"/>
      <c r="M150" s="272" t="str">
        <f>TEXT($G$1+1, "[$-ko-KR]yyyy-mm-dd(ddd) ") &amp; "오전 00:00"</f>
        <v>2021-05-04(화) 오전 00:00</v>
      </c>
      <c r="N150" s="273"/>
      <c r="O150" s="274"/>
      <c r="Q150" s="270"/>
      <c r="R150" s="270"/>
      <c r="S150" s="270"/>
    </row>
    <row r="151" spans="1:19" ht="17.25" thickBot="1">
      <c r="A151" s="294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75"/>
      <c r="R151" s="275"/>
      <c r="S151" s="275"/>
    </row>
    <row r="152" spans="1:19" ht="17.25" thickBot="1">
      <c r="A152" s="12" t="s">
        <v>136</v>
      </c>
      <c r="B152" s="13">
        <v>246</v>
      </c>
      <c r="C152" s="14">
        <v>-1.9920318699999998E-2</v>
      </c>
      <c r="D152" s="13">
        <v>247</v>
      </c>
      <c r="E152" s="14">
        <f>IF(ISNUMBER(D152), (D152 - $B152) / $B152, "")</f>
        <v>4.0650406504065045E-3</v>
      </c>
      <c r="F152" s="16">
        <f>IF(ISNUMBER(D152), $B172 * E152, "")</f>
        <v>1219.5121951219514</v>
      </c>
      <c r="G152" s="29">
        <v>258</v>
      </c>
      <c r="H152" s="14">
        <f>IF(ISNUMBER(G152), (G152 - $B152) / $B152, "")</f>
        <v>4.878048780487805E-2</v>
      </c>
      <c r="I152" s="96">
        <f>IF(ISNUMBER(G152), $B172 * H152, "")</f>
        <v>14634.146341463415</v>
      </c>
      <c r="J152" s="13">
        <v>260</v>
      </c>
      <c r="K152" s="14">
        <f>IF(ISNUMBER(J152), (J152 - $B152) / $B152, "")</f>
        <v>5.6910569105691054E-2</v>
      </c>
      <c r="L152" s="16">
        <f>IF(ISNUMBER(J152), $B172 * K152, "")</f>
        <v>17073.170731707316</v>
      </c>
      <c r="M152" s="29">
        <v>269</v>
      </c>
      <c r="N152" s="14">
        <f>IF(ISNUMBER(M152), (M152 - $B152) / $B152, "")</f>
        <v>9.3495934959349589E-2</v>
      </c>
      <c r="O152" s="16">
        <f>IF(ISNUMBER(M152), $B172 * N152, "")</f>
        <v>28048.780487804877</v>
      </c>
      <c r="Q152" s="270"/>
      <c r="R152" s="270"/>
      <c r="S152" s="270"/>
    </row>
    <row r="153" spans="1:19" ht="17.25" thickBot="1">
      <c r="A153" s="17" t="s">
        <v>216</v>
      </c>
      <c r="B153" s="15">
        <v>477</v>
      </c>
      <c r="C153" s="32">
        <v>-2.0533880899999999E-2</v>
      </c>
      <c r="D153" s="15">
        <v>490</v>
      </c>
      <c r="E153" s="32">
        <f t="shared" ref="E153:E156" si="78">IF(ISNUMBER(D153), (D153 - $B153) / $B153, "")</f>
        <v>2.7253668763102725E-2</v>
      </c>
      <c r="F153" s="18">
        <f>IF(ISNUMBER(D153), $B172 * E153, "")</f>
        <v>8176.1006289308179</v>
      </c>
      <c r="G153" s="31">
        <v>497</v>
      </c>
      <c r="H153" s="32">
        <f t="shared" ref="H153:H156" si="79">IF(ISNUMBER(G153), (G153 - $B153) / $B153, "")</f>
        <v>4.1928721174004195E-2</v>
      </c>
      <c r="I153" s="97">
        <f>IF(ISNUMBER(G153), $B172 * H153, "")</f>
        <v>12578.616352201259</v>
      </c>
      <c r="J153" s="15">
        <v>500</v>
      </c>
      <c r="K153" s="32">
        <f t="shared" ref="K153:K156" si="80">IF(ISNUMBER(J153), (J153 - $B153) / $B153, "")</f>
        <v>4.8218029350104823E-2</v>
      </c>
      <c r="L153" s="18">
        <f>IF(ISNUMBER(J153), $B172 * K153, "")</f>
        <v>14465.408805031448</v>
      </c>
      <c r="M153" s="31">
        <v>492</v>
      </c>
      <c r="N153" s="32">
        <f t="shared" ref="N153:N156" si="81">IF(ISNUMBER(M153), (M153 - $B153) / $B153, "")</f>
        <v>3.1446540880503145E-2</v>
      </c>
      <c r="O153" s="18">
        <f>IF(ISNUMBER(M153), $B172 * N153, "")</f>
        <v>9433.9622641509432</v>
      </c>
      <c r="Q153" s="270"/>
      <c r="R153" s="270"/>
      <c r="S153" s="270"/>
    </row>
    <row r="154" spans="1:19" ht="17.25" thickBot="1">
      <c r="A154" s="17" t="s">
        <v>264</v>
      </c>
      <c r="B154" s="15">
        <v>184</v>
      </c>
      <c r="C154" s="32">
        <v>-2.1276595700000001E-2</v>
      </c>
      <c r="D154" s="15">
        <v>191</v>
      </c>
      <c r="E154" s="32">
        <f t="shared" si="78"/>
        <v>3.8043478260869568E-2</v>
      </c>
      <c r="F154" s="18">
        <f>IF(ISNUMBER(D154), $B172 * E154, "")</f>
        <v>11413.04347826087</v>
      </c>
      <c r="G154" s="31">
        <v>196</v>
      </c>
      <c r="H154" s="32">
        <f t="shared" si="79"/>
        <v>6.5217391304347824E-2</v>
      </c>
      <c r="I154" s="97">
        <f>IF(ISNUMBER(G154), $B172 * H154, "")</f>
        <v>19565.217391304348</v>
      </c>
      <c r="J154" s="15">
        <v>197</v>
      </c>
      <c r="K154" s="32">
        <f t="shared" si="80"/>
        <v>7.0652173913043473E-2</v>
      </c>
      <c r="L154" s="18">
        <f>IF(ISNUMBER(J154), $B172 * K154, "")</f>
        <v>21195.65217391304</v>
      </c>
      <c r="M154" s="31">
        <v>193</v>
      </c>
      <c r="N154" s="32">
        <f t="shared" si="81"/>
        <v>4.8913043478260872E-2</v>
      </c>
      <c r="O154" s="18">
        <f>IF(ISNUMBER(M154), $B172 * N154, "")</f>
        <v>14673.913043478262</v>
      </c>
      <c r="Q154" s="275"/>
      <c r="R154" s="275"/>
      <c r="S154" s="275"/>
    </row>
    <row r="155" spans="1:19" ht="17.25" thickBot="1">
      <c r="A155" s="17" t="s">
        <v>57</v>
      </c>
      <c r="B155" s="15">
        <v>410</v>
      </c>
      <c r="C155" s="32">
        <v>-2.1479713599999999E-2</v>
      </c>
      <c r="D155" s="15">
        <v>418</v>
      </c>
      <c r="E155" s="32">
        <f t="shared" si="78"/>
        <v>1.9512195121951219E-2</v>
      </c>
      <c r="F155" s="18">
        <f>IF(ISNUMBER(D155), $B172 * E155, "")</f>
        <v>5853.6585365853662</v>
      </c>
      <c r="G155" s="31">
        <v>426</v>
      </c>
      <c r="H155" s="32">
        <f t="shared" si="79"/>
        <v>3.9024390243902439E-2</v>
      </c>
      <c r="I155" s="97">
        <f>IF(ISNUMBER(G155), $B172 * H155, "")</f>
        <v>11707.317073170732</v>
      </c>
      <c r="J155" s="15">
        <v>425</v>
      </c>
      <c r="K155" s="32">
        <f t="shared" si="80"/>
        <v>3.6585365853658534E-2</v>
      </c>
      <c r="L155" s="18">
        <f>IF(ISNUMBER(J155), $B172 * K155, "")</f>
        <v>10975.60975609756</v>
      </c>
      <c r="M155" s="31">
        <v>418</v>
      </c>
      <c r="N155" s="32">
        <f t="shared" si="81"/>
        <v>1.9512195121951219E-2</v>
      </c>
      <c r="O155" s="18">
        <f>IF(ISNUMBER(M155), $B172 * N155, "")</f>
        <v>5853.6585365853662</v>
      </c>
      <c r="Q155" s="275"/>
      <c r="R155" s="275"/>
      <c r="S155" s="275"/>
    </row>
    <row r="156" spans="1:19" ht="17.25" thickBot="1">
      <c r="A156" s="19" t="s">
        <v>282</v>
      </c>
      <c r="B156" s="20">
        <v>181</v>
      </c>
      <c r="C156" s="21">
        <v>-2.1621621600000002E-2</v>
      </c>
      <c r="D156" s="20">
        <v>179</v>
      </c>
      <c r="E156" s="21">
        <f t="shared" si="78"/>
        <v>-1.1049723756906077E-2</v>
      </c>
      <c r="F156" s="22">
        <f>IF(ISNUMBER(D156), $B172 * E156, "")</f>
        <v>-3314.917127071823</v>
      </c>
      <c r="G156" s="30">
        <v>182</v>
      </c>
      <c r="H156" s="21">
        <f t="shared" si="79"/>
        <v>5.5248618784530384E-3</v>
      </c>
      <c r="I156" s="101">
        <f>IF(ISNUMBER(G156), $B172 * H156, "")</f>
        <v>1657.4585635359115</v>
      </c>
      <c r="J156" s="20">
        <v>184</v>
      </c>
      <c r="K156" s="21">
        <f t="shared" si="80"/>
        <v>1.6574585635359115E-2</v>
      </c>
      <c r="L156" s="22">
        <f>IF(ISNUMBER(J156), $B172 * K156, "")</f>
        <v>4972.3756906077342</v>
      </c>
      <c r="M156" s="30">
        <v>182</v>
      </c>
      <c r="N156" s="21">
        <f t="shared" si="81"/>
        <v>5.5248618784530384E-3</v>
      </c>
      <c r="O156" s="22">
        <f>IF(ISNUMBER(M156), $B172 * N156, "")</f>
        <v>1657.4585635359115</v>
      </c>
      <c r="Q156" s="275"/>
      <c r="R156" s="275"/>
      <c r="S156" s="275"/>
    </row>
    <row r="157" spans="1:19" ht="17.25" thickBot="1">
      <c r="A157" s="17" t="s">
        <v>120</v>
      </c>
      <c r="B157" s="102">
        <v>226</v>
      </c>
      <c r="C157" s="103">
        <v>-2.1645021600000001E-2</v>
      </c>
      <c r="D157" s="102">
        <v>230</v>
      </c>
      <c r="E157" s="103">
        <f>IF(ISNUMBER(D157), (D157 - $B157) / $B157, "")</f>
        <v>1.7699115044247787E-2</v>
      </c>
      <c r="F157" s="104">
        <f>IF(ISNUMBER(D157), $B172 * E157, "")</f>
        <v>5309.7345132743358</v>
      </c>
      <c r="G157" s="105">
        <v>231</v>
      </c>
      <c r="H157" s="103">
        <f>IF(ISNUMBER(G157), (G157 - $B157) / $B157, "")</f>
        <v>2.2123893805309734E-2</v>
      </c>
      <c r="I157" s="106">
        <f>IF(ISNUMBER(G157), $B172 * H157, "")</f>
        <v>6637.1681415929206</v>
      </c>
      <c r="J157" s="102">
        <v>234</v>
      </c>
      <c r="K157" s="103">
        <f>IF(ISNUMBER(J157), (J157 - $B157) / $B157, "")</f>
        <v>3.5398230088495575E-2</v>
      </c>
      <c r="L157" s="104">
        <f>IF(ISNUMBER(J157), $B172 * K157, "")</f>
        <v>10619.469026548672</v>
      </c>
      <c r="M157" s="105">
        <v>230</v>
      </c>
      <c r="N157" s="103">
        <f>IF(ISNUMBER(M157), (M157 - $B157) / $B157, "")</f>
        <v>1.7699115044247787E-2</v>
      </c>
      <c r="O157" s="104">
        <f>IF(ISNUMBER(M157), $B172 * N157, "")</f>
        <v>5309.7345132743358</v>
      </c>
      <c r="Q157" s="275"/>
      <c r="R157" s="275"/>
      <c r="S157" s="275"/>
    </row>
    <row r="158" spans="1:19" ht="17.25" thickBot="1">
      <c r="A158" s="17" t="s">
        <v>128</v>
      </c>
      <c r="B158" s="15">
        <v>626</v>
      </c>
      <c r="C158" s="32">
        <v>-2.1874999999999999E-2</v>
      </c>
      <c r="D158" s="15">
        <v>721</v>
      </c>
      <c r="E158" s="32">
        <f t="shared" ref="E158:E161" si="82">IF(ISNUMBER(D158), (D158 - $B158) / $B158, "")</f>
        <v>0.15175718849840256</v>
      </c>
      <c r="F158" s="18">
        <f>IF(ISNUMBER(D158), $B172 * E158, "")</f>
        <v>45527.156549520769</v>
      </c>
      <c r="G158" s="31">
        <v>738</v>
      </c>
      <c r="H158" s="32">
        <f t="shared" ref="H158:H161" si="83">IF(ISNUMBER(G158), (G158 - $B158) / $B158, "")</f>
        <v>0.17891373801916932</v>
      </c>
      <c r="I158" s="97">
        <f>IF(ISNUMBER(G158), $B172 * H158, "")</f>
        <v>53674.121405750797</v>
      </c>
      <c r="J158" s="15">
        <v>743</v>
      </c>
      <c r="K158" s="32">
        <f t="shared" ref="K158:K161" si="84">IF(ISNUMBER(J158), (J158 - $B158) / $B158, "")</f>
        <v>0.18690095846645369</v>
      </c>
      <c r="L158" s="18">
        <f>IF(ISNUMBER(J158), $B172 * K158, "")</f>
        <v>56070.287539936107</v>
      </c>
      <c r="M158" s="31">
        <v>724</v>
      </c>
      <c r="N158" s="32">
        <f t="shared" ref="N158:N161" si="85">IF(ISNUMBER(M158), (M158 - $B158) / $B158, "")</f>
        <v>0.15654952076677317</v>
      </c>
      <c r="O158" s="18">
        <f>IF(ISNUMBER(M158), $B172 * N158, "")</f>
        <v>46964.856230031954</v>
      </c>
      <c r="Q158" s="275"/>
      <c r="R158" s="275"/>
      <c r="S158" s="275"/>
    </row>
    <row r="159" spans="1:19" ht="17.25" thickBot="1">
      <c r="A159" s="17" t="s">
        <v>174</v>
      </c>
      <c r="B159" s="15">
        <v>303</v>
      </c>
      <c r="C159" s="32">
        <v>-2.2580645199999999E-2</v>
      </c>
      <c r="D159" s="15">
        <v>305</v>
      </c>
      <c r="E159" s="32">
        <f t="shared" si="82"/>
        <v>6.6006600660066007E-3</v>
      </c>
      <c r="F159" s="18">
        <f>IF(ISNUMBER(D159), $B172 * E159, "")</f>
        <v>1980.1980198019803</v>
      </c>
      <c r="G159" s="31">
        <v>307</v>
      </c>
      <c r="H159" s="32">
        <f t="shared" si="83"/>
        <v>1.3201320132013201E-2</v>
      </c>
      <c r="I159" s="97">
        <f>IF(ISNUMBER(G159), $B172 * H159, "")</f>
        <v>3960.3960396039606</v>
      </c>
      <c r="J159" s="15">
        <v>309</v>
      </c>
      <c r="K159" s="32">
        <f t="shared" si="84"/>
        <v>1.9801980198019802E-2</v>
      </c>
      <c r="L159" s="18">
        <f>IF(ISNUMBER(J159), $B172 * K159, "")</f>
        <v>5940.5940594059402</v>
      </c>
      <c r="M159" s="31">
        <v>305</v>
      </c>
      <c r="N159" s="32">
        <f t="shared" si="85"/>
        <v>6.6006600660066007E-3</v>
      </c>
      <c r="O159" s="18">
        <f>IF(ISNUMBER(M159), $B172 * N159, "")</f>
        <v>1980.1980198019803</v>
      </c>
      <c r="Q159" s="275"/>
      <c r="R159" s="275"/>
      <c r="S159" s="275"/>
    </row>
    <row r="160" spans="1:19" ht="17.25" thickBot="1">
      <c r="A160" s="17" t="s">
        <v>252</v>
      </c>
      <c r="B160" s="15">
        <v>587</v>
      </c>
      <c r="C160" s="32">
        <v>-2.3294509200000001E-2</v>
      </c>
      <c r="D160" s="15">
        <v>589</v>
      </c>
      <c r="E160" s="32">
        <f t="shared" si="82"/>
        <v>3.4071550255536627E-3</v>
      </c>
      <c r="F160" s="18">
        <f>IF(ISNUMBER(D160), $B172 * E160, "")</f>
        <v>1022.1465076660988</v>
      </c>
      <c r="G160" s="31">
        <v>600</v>
      </c>
      <c r="H160" s="32">
        <f t="shared" si="83"/>
        <v>2.2146507666098807E-2</v>
      </c>
      <c r="I160" s="97">
        <f>IF(ISNUMBER(G160), $B172 * H160, "")</f>
        <v>6643.9522998296425</v>
      </c>
      <c r="J160" s="15">
        <v>596</v>
      </c>
      <c r="K160" s="32">
        <f t="shared" si="84"/>
        <v>1.5332197614991482E-2</v>
      </c>
      <c r="L160" s="18">
        <f>IF(ISNUMBER(J160), $B172 * K160, "")</f>
        <v>4599.6592844974448</v>
      </c>
      <c r="M160" s="31">
        <v>599</v>
      </c>
      <c r="N160" s="32">
        <f t="shared" si="85"/>
        <v>2.0442930153321975E-2</v>
      </c>
      <c r="O160" s="18">
        <f>IF(ISNUMBER(M160), $B172 * N160, "")</f>
        <v>6132.8790459965921</v>
      </c>
      <c r="Q160" s="33"/>
      <c r="R160" s="33"/>
    </row>
    <row r="161" spans="1:19" ht="17.25" thickBot="1">
      <c r="A161" s="23" t="s">
        <v>226</v>
      </c>
      <c r="B161" s="24">
        <v>543</v>
      </c>
      <c r="C161" s="25">
        <v>-2.3381295E-2</v>
      </c>
      <c r="D161" s="24">
        <v>558</v>
      </c>
      <c r="E161" s="25">
        <f t="shared" si="82"/>
        <v>2.7624309392265192E-2</v>
      </c>
      <c r="F161" s="100">
        <f>IF(ISNUMBER(D161), $B172 * E161, "")</f>
        <v>8287.2928176795576</v>
      </c>
      <c r="G161" s="98">
        <v>564</v>
      </c>
      <c r="H161" s="25">
        <f t="shared" si="83"/>
        <v>3.8674033149171269E-2</v>
      </c>
      <c r="I161" s="99">
        <f>IF(ISNUMBER(G161), $B172 * H161, "")</f>
        <v>11602.209944751381</v>
      </c>
      <c r="J161" s="24">
        <v>563</v>
      </c>
      <c r="K161" s="25">
        <f t="shared" si="84"/>
        <v>3.6832412523020261E-2</v>
      </c>
      <c r="L161" s="100">
        <f>IF(ISNUMBER(J161), $B172 * K161, "")</f>
        <v>11049.723756906078</v>
      </c>
      <c r="M161" s="98">
        <v>559</v>
      </c>
      <c r="N161" s="25">
        <f t="shared" si="85"/>
        <v>2.9465930018416207E-2</v>
      </c>
      <c r="O161" s="100">
        <f>IF(ISNUMBER(M161), $B172 * N161, "")</f>
        <v>8839.7790055248624</v>
      </c>
      <c r="Q161" s="284"/>
      <c r="R161" s="285"/>
      <c r="S161" s="286"/>
    </row>
    <row r="162" spans="1:19">
      <c r="A162" s="12" t="s">
        <v>168</v>
      </c>
      <c r="B162" s="13">
        <v>207</v>
      </c>
      <c r="C162" s="14">
        <v>-2.3584905699999999E-2</v>
      </c>
      <c r="D162" s="13">
        <v>213</v>
      </c>
      <c r="E162" s="14">
        <f>IF(ISNUMBER(D162), (D162 - $B162) / $B162, "")</f>
        <v>2.8985507246376812E-2</v>
      </c>
      <c r="F162" s="16">
        <f>IF(ISNUMBER(D162), $B172 * E162, "")</f>
        <v>8695.652173913044</v>
      </c>
      <c r="G162" s="29">
        <v>218</v>
      </c>
      <c r="H162" s="14">
        <f>IF(ISNUMBER(G162), (G162 - $B162) / $B162, "")</f>
        <v>5.3140096618357488E-2</v>
      </c>
      <c r="I162" s="96">
        <f>IF(ISNUMBER(G162), $B172 * H162, "")</f>
        <v>15942.028985507246</v>
      </c>
      <c r="J162" s="13">
        <v>220</v>
      </c>
      <c r="K162" s="14">
        <f>IF(ISNUMBER(J162), (J162 - $B162) / $B162, "")</f>
        <v>6.280193236714976E-2</v>
      </c>
      <c r="L162" s="16">
        <f>IF(ISNUMBER(J162), $B172 * K162, "")</f>
        <v>18840.579710144928</v>
      </c>
      <c r="M162" s="29">
        <v>216</v>
      </c>
      <c r="N162" s="14">
        <f>IF(ISNUMBER(M162), (M162 - $B162) / $B162, "")</f>
        <v>4.3478260869565216E-2</v>
      </c>
      <c r="O162" s="16">
        <f>IF(ISNUMBER(M162), $B172 * N162, "")</f>
        <v>13043.478260869564</v>
      </c>
      <c r="Q162" s="287"/>
      <c r="R162" s="288"/>
      <c r="S162" s="289"/>
    </row>
    <row r="163" spans="1:19" ht="17.25" thickBot="1">
      <c r="A163" s="17" t="s">
        <v>296</v>
      </c>
      <c r="B163" s="15">
        <v>454</v>
      </c>
      <c r="C163" s="32">
        <v>-2.3655914E-2</v>
      </c>
      <c r="D163" s="15">
        <v>459</v>
      </c>
      <c r="E163" s="32">
        <f t="shared" ref="E163:E166" si="86">IF(ISNUMBER(D163), (D163 - $B163) / $B163, "")</f>
        <v>1.1013215859030838E-2</v>
      </c>
      <c r="F163" s="18">
        <f>IF(ISNUMBER(D163), $B172 * E163, "")</f>
        <v>3303.9647577092514</v>
      </c>
      <c r="G163" s="31">
        <v>471</v>
      </c>
      <c r="H163" s="32">
        <f t="shared" ref="H163:H166" si="87">IF(ISNUMBER(G163), (G163 - $B163) / $B163, "")</f>
        <v>3.7444933920704845E-2</v>
      </c>
      <c r="I163" s="97">
        <f>IF(ISNUMBER(G163), $B172 * H163, "")</f>
        <v>11233.480176211453</v>
      </c>
      <c r="J163" s="15">
        <v>464</v>
      </c>
      <c r="K163" s="32">
        <f t="shared" ref="K163:K166" si="88">IF(ISNUMBER(J163), (J163 - $B163) / $B163, "")</f>
        <v>2.2026431718061675E-2</v>
      </c>
      <c r="L163" s="18">
        <f>IF(ISNUMBER(J163), $B172 * K163, "")</f>
        <v>6607.9295154185029</v>
      </c>
      <c r="M163" s="31">
        <v>479</v>
      </c>
      <c r="N163" s="32">
        <f t="shared" ref="N163:N166" si="89">IF(ISNUMBER(M163), (M163 - $B163) / $B163, "")</f>
        <v>5.5066079295154183E-2</v>
      </c>
      <c r="O163" s="18">
        <f>IF(ISNUMBER(M163), $B172 * N163, "")</f>
        <v>16519.823788546255</v>
      </c>
      <c r="Q163" s="290"/>
      <c r="R163" s="291"/>
      <c r="S163" s="292"/>
    </row>
    <row r="164" spans="1:19" ht="17.25" thickBot="1">
      <c r="A164" s="17" t="s">
        <v>284</v>
      </c>
      <c r="B164" s="15">
        <v>469</v>
      </c>
      <c r="C164" s="32">
        <v>-2.69709544E-2</v>
      </c>
      <c r="D164" s="15">
        <v>472</v>
      </c>
      <c r="E164" s="32">
        <f t="shared" si="86"/>
        <v>6.3965884861407248E-3</v>
      </c>
      <c r="F164" s="18">
        <f>IF(ISNUMBER(D164), $B172 * E164, "")</f>
        <v>1918.9765458422175</v>
      </c>
      <c r="G164" s="31">
        <v>483</v>
      </c>
      <c r="H164" s="32">
        <f t="shared" si="87"/>
        <v>2.9850746268656716E-2</v>
      </c>
      <c r="I164" s="97">
        <f>IF(ISNUMBER(G164), $B172 * H164, "")</f>
        <v>8955.2238805970155</v>
      </c>
      <c r="J164" s="15">
        <v>488</v>
      </c>
      <c r="K164" s="32">
        <f t="shared" si="88"/>
        <v>4.0511727078891259E-2</v>
      </c>
      <c r="L164" s="18">
        <f>IF(ISNUMBER(J164), $B172 * K164, "")</f>
        <v>12153.518123667378</v>
      </c>
      <c r="M164" s="31">
        <v>480</v>
      </c>
      <c r="N164" s="32">
        <f t="shared" si="89"/>
        <v>2.3454157782515993E-2</v>
      </c>
      <c r="O164" s="18">
        <f>IF(ISNUMBER(M164), $B172 * N164, "")</f>
        <v>7036.2473347547975</v>
      </c>
      <c r="Q164" s="275"/>
      <c r="R164" s="275"/>
      <c r="S164" s="275"/>
    </row>
    <row r="165" spans="1:19" ht="17.25" thickBot="1">
      <c r="A165" s="17" t="s">
        <v>148</v>
      </c>
      <c r="B165" s="15">
        <v>207</v>
      </c>
      <c r="C165" s="32">
        <v>-2.8169014100000001E-2</v>
      </c>
      <c r="D165" s="15">
        <v>212</v>
      </c>
      <c r="E165" s="32">
        <f t="shared" si="86"/>
        <v>2.4154589371980676E-2</v>
      </c>
      <c r="F165" s="18">
        <f>IF(ISNUMBER(D165), $B172 * E165, "")</f>
        <v>7246.376811594203</v>
      </c>
      <c r="G165" s="31">
        <v>214</v>
      </c>
      <c r="H165" s="32">
        <f t="shared" si="87"/>
        <v>3.3816425120772944E-2</v>
      </c>
      <c r="I165" s="97">
        <f>IF(ISNUMBER(G165), $B172 * H165, "")</f>
        <v>10144.927536231884</v>
      </c>
      <c r="J165" s="15">
        <v>212</v>
      </c>
      <c r="K165" s="32">
        <f t="shared" si="88"/>
        <v>2.4154589371980676E-2</v>
      </c>
      <c r="L165" s="18">
        <f>IF(ISNUMBER(J165), $B172 * K165, "")</f>
        <v>7246.376811594203</v>
      </c>
      <c r="M165" s="31">
        <v>215</v>
      </c>
      <c r="N165" s="32">
        <f t="shared" si="89"/>
        <v>3.864734299516908E-2</v>
      </c>
      <c r="O165" s="18">
        <f>IF(ISNUMBER(M165), $B172 * N165, "")</f>
        <v>11594.202898550724</v>
      </c>
      <c r="Q165" s="270"/>
      <c r="R165" s="270"/>
      <c r="S165" s="270"/>
    </row>
    <row r="166" spans="1:19" ht="17.25" thickBot="1">
      <c r="A166" s="19" t="s">
        <v>260</v>
      </c>
      <c r="B166" s="20">
        <v>136</v>
      </c>
      <c r="C166" s="21">
        <v>-2.85714286E-2</v>
      </c>
      <c r="D166" s="20">
        <v>140</v>
      </c>
      <c r="E166" s="21">
        <f t="shared" si="86"/>
        <v>2.9411764705882353E-2</v>
      </c>
      <c r="F166" s="22">
        <f>IF(ISNUMBER(D166), $B172 * E166, "")</f>
        <v>8823.5294117647063</v>
      </c>
      <c r="G166" s="30">
        <v>140</v>
      </c>
      <c r="H166" s="21">
        <f t="shared" si="87"/>
        <v>2.9411764705882353E-2</v>
      </c>
      <c r="I166" s="101">
        <f>IF(ISNUMBER(G166), $B172 * H166, "")</f>
        <v>8823.5294117647063</v>
      </c>
      <c r="J166" s="20">
        <v>141</v>
      </c>
      <c r="K166" s="21">
        <f t="shared" si="88"/>
        <v>3.6764705882352942E-2</v>
      </c>
      <c r="L166" s="22">
        <f>IF(ISNUMBER(J166), $B172 * K166, "")</f>
        <v>11029.411764705883</v>
      </c>
      <c r="M166" s="30">
        <v>140</v>
      </c>
      <c r="N166" s="21">
        <f t="shared" si="89"/>
        <v>2.9411764705882353E-2</v>
      </c>
      <c r="O166" s="22">
        <f>IF(ISNUMBER(M166), $B172 * N166, "")</f>
        <v>8823.5294117647063</v>
      </c>
      <c r="Q166" s="270"/>
      <c r="R166" s="270"/>
      <c r="S166" s="270"/>
    </row>
    <row r="167" spans="1:19" ht="17.25" thickBot="1">
      <c r="A167" s="17" t="s">
        <v>246</v>
      </c>
      <c r="B167" s="102">
        <v>439</v>
      </c>
      <c r="C167" s="103">
        <v>-2.8761061899999999E-2</v>
      </c>
      <c r="D167" s="102">
        <v>441</v>
      </c>
      <c r="E167" s="103">
        <f>IF(ISNUMBER(D167), (D167 - $B167) / $B167, "")</f>
        <v>4.5558086560364463E-3</v>
      </c>
      <c r="F167" s="104">
        <f>IF(ISNUMBER(D167), $B172 * E167, "")</f>
        <v>1366.7425968109339</v>
      </c>
      <c r="G167" s="105">
        <v>445</v>
      </c>
      <c r="H167" s="103">
        <f>IF(ISNUMBER(G167), (G167 - $B167) / $B167, "")</f>
        <v>1.366742596810934E-2</v>
      </c>
      <c r="I167" s="106">
        <f>IF(ISNUMBER(G167), $B172 * H167, "")</f>
        <v>4100.2277904328021</v>
      </c>
      <c r="J167" s="102">
        <v>448</v>
      </c>
      <c r="K167" s="103">
        <f>IF(ISNUMBER(J167), (J167 - $B167) / $B167, "")</f>
        <v>2.0501138952164009E-2</v>
      </c>
      <c r="L167" s="104">
        <f>IF(ISNUMBER(J167), $B172 * K167, "")</f>
        <v>6150.3416856492031</v>
      </c>
      <c r="M167" s="105">
        <v>443</v>
      </c>
      <c r="N167" s="103">
        <f>IF(ISNUMBER(M167), (M167 - $B167) / $B167, "")</f>
        <v>9.1116173120728925E-3</v>
      </c>
      <c r="O167" s="104">
        <f>IF(ISNUMBER(M167), $B172 * N167, "")</f>
        <v>2733.4851936218679</v>
      </c>
      <c r="Q167" s="275"/>
      <c r="R167" s="275"/>
      <c r="S167" s="275"/>
    </row>
    <row r="168" spans="1:19" ht="17.25" thickBot="1">
      <c r="A168" s="17" t="s">
        <v>256</v>
      </c>
      <c r="B168" s="15">
        <v>267</v>
      </c>
      <c r="C168" s="32">
        <v>-2.9090909099999999E-2</v>
      </c>
      <c r="D168" s="15">
        <v>277</v>
      </c>
      <c r="E168" s="32">
        <f t="shared" ref="E168:E171" si="90">IF(ISNUMBER(D168), (D168 - $B168) / $B168, "")</f>
        <v>3.7453183520599252E-2</v>
      </c>
      <c r="F168" s="18">
        <f>IF(ISNUMBER(D168), $B172 * E168, "")</f>
        <v>11235.955056179775</v>
      </c>
      <c r="G168" s="31">
        <v>283</v>
      </c>
      <c r="H168" s="32">
        <f t="shared" ref="H168:H171" si="91">IF(ISNUMBER(G168), (G168 - $B168) / $B168, "")</f>
        <v>5.9925093632958802E-2</v>
      </c>
      <c r="I168" s="97">
        <f>IF(ISNUMBER(G168), $B172 * H168, "")</f>
        <v>17977.528089887641</v>
      </c>
      <c r="J168" s="15">
        <v>280</v>
      </c>
      <c r="K168" s="32">
        <f t="shared" ref="K168:K171" si="92">IF(ISNUMBER(J168), (J168 - $B168) / $B168, "")</f>
        <v>4.8689138576779027E-2</v>
      </c>
      <c r="L168" s="18">
        <f>IF(ISNUMBER(J168), $B172 * K168, "")</f>
        <v>14606.741573033709</v>
      </c>
      <c r="M168" s="31">
        <v>282</v>
      </c>
      <c r="N168" s="32">
        <f t="shared" ref="N168:N171" si="93">IF(ISNUMBER(M168), (M168 - $B168) / $B168, "")</f>
        <v>5.6179775280898875E-2</v>
      </c>
      <c r="O168" s="18">
        <f>IF(ISNUMBER(M168), $B172 * N168, "")</f>
        <v>16853.932584269663</v>
      </c>
      <c r="Q168" s="275"/>
      <c r="R168" s="275"/>
      <c r="S168" s="275"/>
    </row>
    <row r="169" spans="1:19" ht="17.25" thickBot="1">
      <c r="A169" s="17" t="s">
        <v>232</v>
      </c>
      <c r="B169" s="15">
        <v>196</v>
      </c>
      <c r="C169" s="32">
        <v>-2.9702970299999999E-2</v>
      </c>
      <c r="D169" s="15">
        <v>197</v>
      </c>
      <c r="E169" s="32">
        <f t="shared" si="90"/>
        <v>5.1020408163265302E-3</v>
      </c>
      <c r="F169" s="18">
        <f>IF(ISNUMBER(D169), $B172 * E169, "")</f>
        <v>1530.612244897959</v>
      </c>
      <c r="G169" s="31">
        <v>204</v>
      </c>
      <c r="H169" s="32">
        <f t="shared" si="91"/>
        <v>4.0816326530612242E-2</v>
      </c>
      <c r="I169" s="97">
        <f>IF(ISNUMBER(G169), $B172 * H169, "")</f>
        <v>12244.897959183672</v>
      </c>
      <c r="J169" s="15">
        <v>200</v>
      </c>
      <c r="K169" s="32">
        <f t="shared" si="92"/>
        <v>2.0408163265306121E-2</v>
      </c>
      <c r="L169" s="18">
        <f>IF(ISNUMBER(J169), $B172 * K169, "")</f>
        <v>6122.4489795918362</v>
      </c>
      <c r="M169" s="31">
        <v>198</v>
      </c>
      <c r="N169" s="32">
        <f t="shared" si="93"/>
        <v>1.020408163265306E-2</v>
      </c>
      <c r="O169" s="18">
        <f>IF(ISNUMBER(M169), $B172 * N169, "")</f>
        <v>3061.2244897959181</v>
      </c>
      <c r="Q169" s="275"/>
      <c r="R169" s="275"/>
      <c r="S169" s="275"/>
    </row>
    <row r="170" spans="1:19">
      <c r="A170" s="17" t="s">
        <v>250</v>
      </c>
      <c r="B170" s="15">
        <v>242</v>
      </c>
      <c r="C170" s="32">
        <v>-3.5856573699999998E-2</v>
      </c>
      <c r="D170" s="15">
        <v>241</v>
      </c>
      <c r="E170" s="32">
        <f t="shared" si="90"/>
        <v>-4.1322314049586778E-3</v>
      </c>
      <c r="F170" s="18">
        <f>IF(ISNUMBER(D170), $B172 * E170, "")</f>
        <v>-1239.6694214876034</v>
      </c>
      <c r="G170" s="31">
        <v>246</v>
      </c>
      <c r="H170" s="32">
        <f t="shared" si="91"/>
        <v>1.6528925619834711E-2</v>
      </c>
      <c r="I170" s="97">
        <f>IF(ISNUMBER(G170), $B172 * H170, "")</f>
        <v>4958.6776859504134</v>
      </c>
      <c r="J170" s="15">
        <v>245</v>
      </c>
      <c r="K170" s="32">
        <f t="shared" si="92"/>
        <v>1.2396694214876033E-2</v>
      </c>
      <c r="L170" s="18">
        <f>IF(ISNUMBER(J170), $B172 * K170, "")</f>
        <v>3719.0082644628101</v>
      </c>
      <c r="M170" s="31">
        <v>244</v>
      </c>
      <c r="N170" s="32">
        <f t="shared" si="93"/>
        <v>8.2644628099173556E-3</v>
      </c>
      <c r="O170" s="18">
        <f>IF(ISNUMBER(M170), $B172 * N170, "")</f>
        <v>2479.3388429752067</v>
      </c>
      <c r="Q170" s="297"/>
      <c r="R170" s="298"/>
      <c r="S170" s="299"/>
    </row>
    <row r="171" spans="1:19" ht="17.25" thickBot="1">
      <c r="A171" s="23" t="s">
        <v>258</v>
      </c>
      <c r="B171" s="24">
        <v>752</v>
      </c>
      <c r="C171" s="25">
        <v>-3.7131882200000001E-2</v>
      </c>
      <c r="D171" s="24">
        <v>752</v>
      </c>
      <c r="E171" s="25">
        <f t="shared" si="90"/>
        <v>0</v>
      </c>
      <c r="F171" s="100">
        <f>IF(ISNUMBER(D171), $B172 * E171, "")</f>
        <v>0</v>
      </c>
      <c r="G171" s="98">
        <v>761</v>
      </c>
      <c r="H171" s="25">
        <f t="shared" si="91"/>
        <v>1.1968085106382979E-2</v>
      </c>
      <c r="I171" s="99">
        <f>IF(ISNUMBER(G171), $B172 * H171, "")</f>
        <v>3590.4255319148938</v>
      </c>
      <c r="J171" s="24">
        <v>764</v>
      </c>
      <c r="K171" s="25">
        <f t="shared" si="92"/>
        <v>1.5957446808510637E-2</v>
      </c>
      <c r="L171" s="100">
        <f>IF(ISNUMBER(J171), $B172 * K171, "")</f>
        <v>4787.2340425531911</v>
      </c>
      <c r="M171" s="98">
        <v>780</v>
      </c>
      <c r="N171" s="25">
        <f t="shared" si="93"/>
        <v>3.7234042553191488E-2</v>
      </c>
      <c r="O171" s="100">
        <f>IF(ISNUMBER(M171), $B172 * N171, "")</f>
        <v>11170.212765957447</v>
      </c>
      <c r="Q171" s="300"/>
      <c r="R171" s="301"/>
      <c r="S171" s="302"/>
    </row>
    <row r="172" spans="1:19" ht="17.25" thickBot="1">
      <c r="A172" s="26" t="s">
        <v>301</v>
      </c>
      <c r="B172" s="306">
        <f>$B$37</f>
        <v>300000</v>
      </c>
      <c r="C172" s="307"/>
      <c r="D172" s="26" t="s">
        <v>302</v>
      </c>
      <c r="E172" s="27">
        <f>IF(COUNT(E152:E171), SUM(E152:E171) / COUNT(E152:E171), 0)</f>
        <v>2.1392677716165733E-2</v>
      </c>
      <c r="F172" s="28">
        <f>SUM(F152:F171)</f>
        <v>128356.06629699441</v>
      </c>
      <c r="G172" s="26" t="s">
        <v>302</v>
      </c>
      <c r="H172" s="27">
        <f>IF(COUNT(H152:H171), SUM(H152:H171) / COUNT(H152:H171), 0)</f>
        <v>4.010525843348102E-2</v>
      </c>
      <c r="I172" s="28">
        <f>SUM(I152:I171)</f>
        <v>240631.55060088605</v>
      </c>
      <c r="J172" s="26" t="s">
        <v>302</v>
      </c>
      <c r="K172" s="27">
        <f>IF(COUNT(K152:K171), SUM(K152:K171) / COUNT(K152:K171), 0)</f>
        <v>4.1370923549245493E-2</v>
      </c>
      <c r="L172" s="28">
        <f>SUM(L152:L171)</f>
        <v>248225.541295473</v>
      </c>
      <c r="M172" s="26" t="s">
        <v>302</v>
      </c>
      <c r="N172" s="27">
        <f>IF(COUNT(N152:N171), SUM(N152:N171) / COUNT(N152:N171), 0)</f>
        <v>3.7035115880215207E-2</v>
      </c>
      <c r="O172" s="28">
        <f>SUM(O152:O171)</f>
        <v>222210.69528129121</v>
      </c>
      <c r="Q172" s="303"/>
      <c r="R172" s="304"/>
      <c r="S172" s="305"/>
    </row>
    <row r="174" spans="1:19" ht="17.25" thickBot="1"/>
    <row r="175" spans="1:19" ht="17.25" thickBot="1">
      <c r="A175" s="249" t="s">
        <v>285</v>
      </c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50"/>
      <c r="M175" s="250"/>
      <c r="N175" s="250"/>
      <c r="O175" s="251"/>
      <c r="Q175" s="270"/>
      <c r="R175" s="270"/>
      <c r="S175" s="270"/>
    </row>
    <row r="176" spans="1:19" ht="17.25" thickBot="1">
      <c r="A176" s="107" t="s">
        <v>298</v>
      </c>
      <c r="B176" s="249" t="s">
        <v>49</v>
      </c>
      <c r="C176" s="251"/>
      <c r="D176" s="249" t="s">
        <v>58</v>
      </c>
      <c r="E176" s="250"/>
      <c r="F176" s="251"/>
      <c r="G176" s="276">
        <f>_xlfn.IFNA(VLOOKUP(B176, 현재가테이블!$B$2:$D$200, 2, FALSE), "-")</f>
        <v>60874000</v>
      </c>
      <c r="H176" s="277"/>
      <c r="I176" s="278"/>
      <c r="J176" s="249" t="s">
        <v>59</v>
      </c>
      <c r="K176" s="250"/>
      <c r="L176" s="251"/>
      <c r="M176" s="279">
        <f>_xlfn.IFNA(VLOOKUP(B176, 현재가테이블!$B$2:$D$200, 3, FALSE), "-")</f>
        <v>-1.4936000099999999E-2</v>
      </c>
      <c r="N176" s="280"/>
      <c r="O176" s="281"/>
      <c r="Q176" s="270"/>
      <c r="R176" s="270"/>
      <c r="S176" s="270"/>
    </row>
    <row r="177" spans="1:19" ht="17.25" thickBot="1">
      <c r="A177" s="293" t="s">
        <v>55</v>
      </c>
      <c r="B177" s="295" t="str">
        <f>TEXT($G$1, "[$-ko-KR]yyyy-mm-dd(ddd) ") &amp; "오전 00:00"</f>
        <v>2021-05-03(월) 오전 00:00</v>
      </c>
      <c r="C177" s="296"/>
      <c r="D177" s="272" t="str">
        <f>TEXT($G$1, "[$-ko-KR]yyyy-mm-dd(ddd) ") &amp; "오후 14:00"</f>
        <v>2021-05-03(월) 오후 14:00</v>
      </c>
      <c r="E177" s="273"/>
      <c r="F177" s="274"/>
      <c r="G177" s="272" t="str">
        <f>TEXT($G$1, "[$-ko-KR]yyyy-mm-dd(ddd) ") &amp; "오후 19:00"</f>
        <v>2021-05-03(월) 오후 19:00</v>
      </c>
      <c r="H177" s="273"/>
      <c r="I177" s="274"/>
      <c r="J177" s="272" t="str">
        <f>TEXT($G$1, "[$-ko-KR]yyyy-mm-dd(ddd) ") &amp; "오후 21:00"</f>
        <v>2021-05-03(월) 오후 21:00</v>
      </c>
      <c r="K177" s="273"/>
      <c r="L177" s="274"/>
      <c r="M177" s="272" t="str">
        <f>TEXT($G$1+1, "[$-ko-KR]yyyy-mm-dd(ddd) ") &amp; "오전 00:00"</f>
        <v>2021-05-04(화) 오전 00:00</v>
      </c>
      <c r="N177" s="273"/>
      <c r="O177" s="274"/>
      <c r="Q177" s="270"/>
      <c r="R177" s="270"/>
      <c r="S177" s="270"/>
    </row>
    <row r="178" spans="1:19" ht="17.25" thickBot="1">
      <c r="A178" s="294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75"/>
      <c r="R178" s="275"/>
      <c r="S178" s="275"/>
    </row>
    <row r="179" spans="1:19" ht="17.25" thickBot="1">
      <c r="A179" s="12" t="s">
        <v>67</v>
      </c>
      <c r="B179" s="13">
        <v>9890</v>
      </c>
      <c r="C179" s="14">
        <v>-2.6574803099999999E-2</v>
      </c>
      <c r="D179" s="13">
        <v>9800</v>
      </c>
      <c r="E179" s="14">
        <f>IF(ISNUMBER(D179), (D179 - $B179) / $B179, "")</f>
        <v>-9.1001011122345803E-3</v>
      </c>
      <c r="F179" s="16">
        <f>IF(ISNUMBER(D179), $B199 * E179, "")</f>
        <v>-2730.0303336703741</v>
      </c>
      <c r="G179" s="29">
        <v>9955</v>
      </c>
      <c r="H179" s="14">
        <f>IF(ISNUMBER(G179), (G179 - $B179) / $B179, "")</f>
        <v>6.5722952477249748E-3</v>
      </c>
      <c r="I179" s="96">
        <f>IF(ISNUMBER(G179), $B199 * H179, "")</f>
        <v>1971.6885743174923</v>
      </c>
      <c r="J179" s="13">
        <v>9980</v>
      </c>
      <c r="K179" s="14">
        <f>IF(ISNUMBER(J179), (J179 - $B179) / $B179, "")</f>
        <v>9.1001011122345803E-3</v>
      </c>
      <c r="L179" s="16">
        <f>IF(ISNUMBER(J179), $B199 * K179, "")</f>
        <v>2730.0303336703741</v>
      </c>
      <c r="M179" s="29">
        <v>9965</v>
      </c>
      <c r="N179" s="14">
        <f>IF(ISNUMBER(M179), (M179 - $B179) / $B179, "")</f>
        <v>7.5834175935288167E-3</v>
      </c>
      <c r="O179" s="16">
        <f>IF(ISNUMBER(M179), $B199 * N179, "")</f>
        <v>2275.0252780586452</v>
      </c>
      <c r="Q179" s="270"/>
      <c r="R179" s="270"/>
      <c r="S179" s="270"/>
    </row>
    <row r="180" spans="1:19" ht="17.25" thickBot="1">
      <c r="A180" s="17" t="s">
        <v>284</v>
      </c>
      <c r="B180" s="15">
        <v>469</v>
      </c>
      <c r="C180" s="32">
        <v>-2.69709544E-2</v>
      </c>
      <c r="D180" s="15">
        <v>472</v>
      </c>
      <c r="E180" s="32">
        <f t="shared" ref="E180:E183" si="94">IF(ISNUMBER(D180), (D180 - $B180) / $B180, "")</f>
        <v>6.3965884861407248E-3</v>
      </c>
      <c r="F180" s="18">
        <f>IF(ISNUMBER(D180), $B199 * E180, "")</f>
        <v>1918.9765458422175</v>
      </c>
      <c r="G180" s="31">
        <v>483</v>
      </c>
      <c r="H180" s="32">
        <f t="shared" ref="H180:H183" si="95">IF(ISNUMBER(G180), (G180 - $B180) / $B180, "")</f>
        <v>2.9850746268656716E-2</v>
      </c>
      <c r="I180" s="97">
        <f>IF(ISNUMBER(G180), $B199 * H180, "")</f>
        <v>8955.2238805970155</v>
      </c>
      <c r="J180" s="15">
        <v>488</v>
      </c>
      <c r="K180" s="32">
        <f t="shared" ref="K180:K183" si="96">IF(ISNUMBER(J180), (J180 - $B180) / $B180, "")</f>
        <v>4.0511727078891259E-2</v>
      </c>
      <c r="L180" s="18">
        <f>IF(ISNUMBER(J180), $B199 * K180, "")</f>
        <v>12153.518123667378</v>
      </c>
      <c r="M180" s="31">
        <v>480</v>
      </c>
      <c r="N180" s="32">
        <f t="shared" ref="N180:N183" si="97">IF(ISNUMBER(M180), (M180 - $B180) / $B180, "")</f>
        <v>2.3454157782515993E-2</v>
      </c>
      <c r="O180" s="18">
        <f>IF(ISNUMBER(M180), $B199 * N180, "")</f>
        <v>7036.2473347547975</v>
      </c>
      <c r="Q180" s="270"/>
      <c r="R180" s="270"/>
      <c r="S180" s="270"/>
    </row>
    <row r="181" spans="1:19" ht="17.25" thickBot="1">
      <c r="A181" s="17" t="s">
        <v>94</v>
      </c>
      <c r="B181" s="15">
        <v>113550</v>
      </c>
      <c r="C181" s="32">
        <v>-2.6992287899999998E-2</v>
      </c>
      <c r="D181" s="15">
        <v>114900</v>
      </c>
      <c r="E181" s="32">
        <f t="shared" si="94"/>
        <v>1.1889035667107001E-2</v>
      </c>
      <c r="F181" s="18">
        <f>IF(ISNUMBER(D181), $B199 * E181, "")</f>
        <v>3566.7107001321001</v>
      </c>
      <c r="G181" s="31">
        <v>116300</v>
      </c>
      <c r="H181" s="32">
        <f t="shared" si="95"/>
        <v>2.4218405988551298E-2</v>
      </c>
      <c r="I181" s="97">
        <f>IF(ISNUMBER(G181), $B199 * H181, "")</f>
        <v>7265.5217965653892</v>
      </c>
      <c r="J181" s="15">
        <v>116900</v>
      </c>
      <c r="K181" s="32">
        <f t="shared" si="96"/>
        <v>2.9502421840598855E-2</v>
      </c>
      <c r="L181" s="18">
        <f>IF(ISNUMBER(J181), $B199 * K181, "")</f>
        <v>8850.7265521796562</v>
      </c>
      <c r="M181" s="31">
        <v>114900</v>
      </c>
      <c r="N181" s="32">
        <f t="shared" si="97"/>
        <v>1.1889035667107001E-2</v>
      </c>
      <c r="O181" s="18">
        <f>IF(ISNUMBER(M181), $B199 * N181, "")</f>
        <v>3566.7107001321001</v>
      </c>
      <c r="Q181" s="275"/>
      <c r="R181" s="275"/>
      <c r="S181" s="275"/>
    </row>
    <row r="182" spans="1:19" ht="17.25" thickBot="1">
      <c r="A182" s="17" t="s">
        <v>98</v>
      </c>
      <c r="B182" s="15">
        <v>6750</v>
      </c>
      <c r="C182" s="32">
        <v>-2.7377521599999999E-2</v>
      </c>
      <c r="D182" s="15">
        <v>6900</v>
      </c>
      <c r="E182" s="32">
        <f t="shared" si="94"/>
        <v>2.2222222222222223E-2</v>
      </c>
      <c r="F182" s="18">
        <f>IF(ISNUMBER(D182), $B199 * E182, "")</f>
        <v>6666.666666666667</v>
      </c>
      <c r="G182" s="31">
        <v>7075</v>
      </c>
      <c r="H182" s="32">
        <f t="shared" si="95"/>
        <v>4.8148148148148148E-2</v>
      </c>
      <c r="I182" s="97">
        <f>IF(ISNUMBER(G182), $B199 * H182, "")</f>
        <v>14444.444444444445</v>
      </c>
      <c r="J182" s="15">
        <v>7150</v>
      </c>
      <c r="K182" s="32">
        <f t="shared" si="96"/>
        <v>5.9259259259259262E-2</v>
      </c>
      <c r="L182" s="18">
        <f>IF(ISNUMBER(J182), $B199 * K182, "")</f>
        <v>17777.777777777777</v>
      </c>
      <c r="M182" s="31">
        <v>7010</v>
      </c>
      <c r="N182" s="32">
        <f t="shared" si="97"/>
        <v>3.8518518518518521E-2</v>
      </c>
      <c r="O182" s="18">
        <f>IF(ISNUMBER(M182), $B199 * N182, "")</f>
        <v>11555.555555555557</v>
      </c>
      <c r="Q182" s="275"/>
      <c r="R182" s="275"/>
      <c r="S182" s="275"/>
    </row>
    <row r="183" spans="1:19" ht="17.25" thickBot="1">
      <c r="A183" s="19" t="s">
        <v>82</v>
      </c>
      <c r="B183" s="20">
        <v>1575</v>
      </c>
      <c r="C183" s="21">
        <v>-2.77777778E-2</v>
      </c>
      <c r="D183" s="20">
        <v>1600</v>
      </c>
      <c r="E183" s="21">
        <f t="shared" si="94"/>
        <v>1.5873015873015872E-2</v>
      </c>
      <c r="F183" s="22">
        <f>IF(ISNUMBER(D183), $B199 * E183, "")</f>
        <v>4761.9047619047615</v>
      </c>
      <c r="G183" s="30">
        <v>1625</v>
      </c>
      <c r="H183" s="21">
        <f t="shared" si="95"/>
        <v>3.1746031746031744E-2</v>
      </c>
      <c r="I183" s="101">
        <f>IF(ISNUMBER(G183), $B199 * H183, "")</f>
        <v>9523.8095238095229</v>
      </c>
      <c r="J183" s="20">
        <v>1655</v>
      </c>
      <c r="K183" s="21">
        <f t="shared" si="96"/>
        <v>5.0793650793650794E-2</v>
      </c>
      <c r="L183" s="22">
        <f>IF(ISNUMBER(J183), $B199 * K183, "")</f>
        <v>15238.095238095239</v>
      </c>
      <c r="M183" s="30">
        <v>1645</v>
      </c>
      <c r="N183" s="21">
        <f t="shared" si="97"/>
        <v>4.4444444444444446E-2</v>
      </c>
      <c r="O183" s="22">
        <f>IF(ISNUMBER(M183), $B199 * N183, "")</f>
        <v>13333.333333333334</v>
      </c>
      <c r="Q183" s="275"/>
      <c r="R183" s="275"/>
      <c r="S183" s="275"/>
    </row>
    <row r="184" spans="1:19" ht="17.25" thickBot="1">
      <c r="A184" s="17" t="s">
        <v>148</v>
      </c>
      <c r="B184" s="102">
        <v>207</v>
      </c>
      <c r="C184" s="103">
        <v>-2.8169014100000001E-2</v>
      </c>
      <c r="D184" s="102">
        <v>212</v>
      </c>
      <c r="E184" s="103">
        <f>IF(ISNUMBER(D184), (D184 - $B184) / $B184, "")</f>
        <v>2.4154589371980676E-2</v>
      </c>
      <c r="F184" s="104">
        <f>IF(ISNUMBER(D184), $B199 * E184, "")</f>
        <v>7246.376811594203</v>
      </c>
      <c r="G184" s="105">
        <v>214</v>
      </c>
      <c r="H184" s="103">
        <f>IF(ISNUMBER(G184), (G184 - $B184) / $B184, "")</f>
        <v>3.3816425120772944E-2</v>
      </c>
      <c r="I184" s="106">
        <f>IF(ISNUMBER(G184), $B199 * H184, "")</f>
        <v>10144.927536231884</v>
      </c>
      <c r="J184" s="102">
        <v>212</v>
      </c>
      <c r="K184" s="103">
        <f>IF(ISNUMBER(J184), (J184 - $B184) / $B184, "")</f>
        <v>2.4154589371980676E-2</v>
      </c>
      <c r="L184" s="104">
        <f>IF(ISNUMBER(J184), $B199 * K184, "")</f>
        <v>7246.376811594203</v>
      </c>
      <c r="M184" s="105">
        <v>215</v>
      </c>
      <c r="N184" s="103">
        <f>IF(ISNUMBER(M184), (M184 - $B184) / $B184, "")</f>
        <v>3.864734299516908E-2</v>
      </c>
      <c r="O184" s="104">
        <f>IF(ISNUMBER(M184), $B199 * N184, "")</f>
        <v>11594.202898550724</v>
      </c>
      <c r="Q184" s="275"/>
      <c r="R184" s="275"/>
      <c r="S184" s="275"/>
    </row>
    <row r="185" spans="1:19" ht="17.25" thickBot="1">
      <c r="A185" s="17" t="s">
        <v>76</v>
      </c>
      <c r="B185" s="15">
        <v>47740</v>
      </c>
      <c r="C185" s="32">
        <v>-2.84900285E-2</v>
      </c>
      <c r="D185" s="15">
        <v>48660</v>
      </c>
      <c r="E185" s="32">
        <f t="shared" ref="E185:E188" si="98">IF(ISNUMBER(D185), (D185 - $B185) / $B185, "")</f>
        <v>1.9271051529116047E-2</v>
      </c>
      <c r="F185" s="18">
        <f>IF(ISNUMBER(D185), $B199 * E185, "")</f>
        <v>5781.3154587348145</v>
      </c>
      <c r="G185" s="31">
        <v>48380</v>
      </c>
      <c r="H185" s="32">
        <f t="shared" ref="H185:H188" si="99">IF(ISNUMBER(G185), (G185 - $B185) / $B185, "")</f>
        <v>1.3405948889819858E-2</v>
      </c>
      <c r="I185" s="97">
        <f>IF(ISNUMBER(G185), $B199 * H185, "")</f>
        <v>4021.7846669459573</v>
      </c>
      <c r="J185" s="15">
        <v>49200</v>
      </c>
      <c r="K185" s="32">
        <f t="shared" ref="K185:K188" si="100">IF(ISNUMBER(J185), (J185 - $B185) / $B185, "")</f>
        <v>3.0582320904901549E-2</v>
      </c>
      <c r="L185" s="18">
        <f>IF(ISNUMBER(J185), $B199 * K185, "")</f>
        <v>9174.6962714704641</v>
      </c>
      <c r="M185" s="31">
        <v>48440</v>
      </c>
      <c r="N185" s="32">
        <f t="shared" ref="N185:N188" si="101">IF(ISNUMBER(M185), (M185 - $B185) / $B185, "")</f>
        <v>1.466275659824047E-2</v>
      </c>
      <c r="O185" s="18">
        <f>IF(ISNUMBER(M185), $B199 * N185, "")</f>
        <v>4398.8269794721409</v>
      </c>
      <c r="Q185" s="275"/>
      <c r="R185" s="275"/>
      <c r="S185" s="275"/>
    </row>
    <row r="186" spans="1:19" ht="17.25" thickBot="1">
      <c r="A186" s="17" t="s">
        <v>260</v>
      </c>
      <c r="B186" s="15">
        <v>136</v>
      </c>
      <c r="C186" s="32">
        <v>-2.85714286E-2</v>
      </c>
      <c r="D186" s="15">
        <v>140</v>
      </c>
      <c r="E186" s="32">
        <f t="shared" si="98"/>
        <v>2.9411764705882353E-2</v>
      </c>
      <c r="F186" s="18">
        <f>IF(ISNUMBER(D186), $B199 * E186, "")</f>
        <v>8823.5294117647063</v>
      </c>
      <c r="G186" s="31">
        <v>140</v>
      </c>
      <c r="H186" s="32">
        <f t="shared" si="99"/>
        <v>2.9411764705882353E-2</v>
      </c>
      <c r="I186" s="97">
        <f>IF(ISNUMBER(G186), $B199 * H186, "")</f>
        <v>8823.5294117647063</v>
      </c>
      <c r="J186" s="15">
        <v>141</v>
      </c>
      <c r="K186" s="32">
        <f t="shared" si="100"/>
        <v>3.6764705882352942E-2</v>
      </c>
      <c r="L186" s="18">
        <f>IF(ISNUMBER(J186), $B199 * K186, "")</f>
        <v>11029.411764705883</v>
      </c>
      <c r="M186" s="31">
        <v>140</v>
      </c>
      <c r="N186" s="32">
        <f t="shared" si="101"/>
        <v>2.9411764705882353E-2</v>
      </c>
      <c r="O186" s="18">
        <f>IF(ISNUMBER(M186), $B199 * N186, "")</f>
        <v>8823.5294117647063</v>
      </c>
      <c r="Q186" s="275"/>
      <c r="R186" s="275"/>
      <c r="S186" s="275"/>
    </row>
    <row r="187" spans="1:19" ht="17.25" thickBot="1">
      <c r="A187" s="17" t="s">
        <v>246</v>
      </c>
      <c r="B187" s="15">
        <v>439</v>
      </c>
      <c r="C187" s="32">
        <v>-2.8761061899999999E-2</v>
      </c>
      <c r="D187" s="15">
        <v>441</v>
      </c>
      <c r="E187" s="32">
        <f t="shared" si="98"/>
        <v>4.5558086560364463E-3</v>
      </c>
      <c r="F187" s="18">
        <f>IF(ISNUMBER(D187), $B199 * E187, "")</f>
        <v>1366.7425968109339</v>
      </c>
      <c r="G187" s="31">
        <v>445</v>
      </c>
      <c r="H187" s="32">
        <f t="shared" si="99"/>
        <v>1.366742596810934E-2</v>
      </c>
      <c r="I187" s="97">
        <f>IF(ISNUMBER(G187), $B199 * H187, "")</f>
        <v>4100.2277904328021</v>
      </c>
      <c r="J187" s="15">
        <v>448</v>
      </c>
      <c r="K187" s="32">
        <f t="shared" si="100"/>
        <v>2.0501138952164009E-2</v>
      </c>
      <c r="L187" s="18">
        <f>IF(ISNUMBER(J187), $B199 * K187, "")</f>
        <v>6150.3416856492031</v>
      </c>
      <c r="M187" s="31">
        <v>443</v>
      </c>
      <c r="N187" s="32">
        <f t="shared" si="101"/>
        <v>9.1116173120728925E-3</v>
      </c>
      <c r="O187" s="18">
        <f>IF(ISNUMBER(M187), $B199 * N187, "")</f>
        <v>2733.4851936218679</v>
      </c>
      <c r="Q187" s="33"/>
      <c r="R187" s="33"/>
    </row>
    <row r="188" spans="1:19" ht="17.25" thickBot="1">
      <c r="A188" s="23" t="s">
        <v>256</v>
      </c>
      <c r="B188" s="24">
        <v>267</v>
      </c>
      <c r="C188" s="25">
        <v>-2.9090909099999999E-2</v>
      </c>
      <c r="D188" s="24">
        <v>277</v>
      </c>
      <c r="E188" s="25">
        <f t="shared" si="98"/>
        <v>3.7453183520599252E-2</v>
      </c>
      <c r="F188" s="100">
        <f>IF(ISNUMBER(D188), $B199 * E188, "")</f>
        <v>11235.955056179775</v>
      </c>
      <c r="G188" s="98">
        <v>283</v>
      </c>
      <c r="H188" s="25">
        <f t="shared" si="99"/>
        <v>5.9925093632958802E-2</v>
      </c>
      <c r="I188" s="99">
        <f>IF(ISNUMBER(G188), $B199 * H188, "")</f>
        <v>17977.528089887641</v>
      </c>
      <c r="J188" s="24">
        <v>280</v>
      </c>
      <c r="K188" s="25">
        <f t="shared" si="100"/>
        <v>4.8689138576779027E-2</v>
      </c>
      <c r="L188" s="100">
        <f>IF(ISNUMBER(J188), $B199 * K188, "")</f>
        <v>14606.741573033709</v>
      </c>
      <c r="M188" s="98">
        <v>282</v>
      </c>
      <c r="N188" s="25">
        <f t="shared" si="101"/>
        <v>5.6179775280898875E-2</v>
      </c>
      <c r="O188" s="100">
        <f>IF(ISNUMBER(M188), $B199 * N188, "")</f>
        <v>16853.932584269663</v>
      </c>
      <c r="Q188" s="284"/>
      <c r="R188" s="285"/>
      <c r="S188" s="286"/>
    </row>
    <row r="189" spans="1:19">
      <c r="A189" s="12" t="s">
        <v>232</v>
      </c>
      <c r="B189" s="13">
        <v>196</v>
      </c>
      <c r="C189" s="14">
        <v>-2.9702970299999999E-2</v>
      </c>
      <c r="D189" s="13">
        <v>197</v>
      </c>
      <c r="E189" s="14">
        <f>IF(ISNUMBER(D189), (D189 - $B189) / $B189, "")</f>
        <v>5.1020408163265302E-3</v>
      </c>
      <c r="F189" s="16">
        <f>IF(ISNUMBER(D189), $B199 * E189, "")</f>
        <v>1530.612244897959</v>
      </c>
      <c r="G189" s="29">
        <v>204</v>
      </c>
      <c r="H189" s="14">
        <f>IF(ISNUMBER(G189), (G189 - $B189) / $B189, "")</f>
        <v>4.0816326530612242E-2</v>
      </c>
      <c r="I189" s="96">
        <f>IF(ISNUMBER(G189), $B199 * H189, "")</f>
        <v>12244.897959183672</v>
      </c>
      <c r="J189" s="13">
        <v>200</v>
      </c>
      <c r="K189" s="14">
        <f>IF(ISNUMBER(J189), (J189 - $B189) / $B189, "")</f>
        <v>2.0408163265306121E-2</v>
      </c>
      <c r="L189" s="16">
        <f>IF(ISNUMBER(J189), $B199 * K189, "")</f>
        <v>6122.4489795918362</v>
      </c>
      <c r="M189" s="29">
        <v>198</v>
      </c>
      <c r="N189" s="14">
        <f>IF(ISNUMBER(M189), (M189 - $B189) / $B189, "")</f>
        <v>1.020408163265306E-2</v>
      </c>
      <c r="O189" s="16">
        <f>IF(ISNUMBER(M189), $B199 * N189, "")</f>
        <v>3061.2244897959181</v>
      </c>
      <c r="Q189" s="287"/>
      <c r="R189" s="288"/>
      <c r="S189" s="289"/>
    </row>
    <row r="190" spans="1:19" ht="17.25" thickBot="1">
      <c r="A190" s="17" t="s">
        <v>190</v>
      </c>
      <c r="B190" s="15">
        <v>77290</v>
      </c>
      <c r="C190" s="32">
        <v>-3.09679037E-2</v>
      </c>
      <c r="D190" s="15">
        <v>77020</v>
      </c>
      <c r="E190" s="32">
        <f t="shared" ref="E190:E193" si="102">IF(ISNUMBER(D190), (D190 - $B190) / $B190, "")</f>
        <v>-3.4933367835425022E-3</v>
      </c>
      <c r="F190" s="18">
        <f>IF(ISNUMBER(D190), $B199 * E190, "")</f>
        <v>-1048.0010350627506</v>
      </c>
      <c r="G190" s="31">
        <v>80560</v>
      </c>
      <c r="H190" s="32">
        <f t="shared" ref="H190:H193" si="103">IF(ISNUMBER(G190), (G190 - $B190) / $B190, "")</f>
        <v>4.230818993401475E-2</v>
      </c>
      <c r="I190" s="97">
        <f>IF(ISNUMBER(G190), $B199 * H190, "")</f>
        <v>12692.456980204424</v>
      </c>
      <c r="J190" s="15">
        <v>78430</v>
      </c>
      <c r="K190" s="32">
        <f t="shared" ref="K190:K193" si="104">IF(ISNUMBER(J190), (J190 - $B190) / $B190, "")</f>
        <v>1.4749644197179454E-2</v>
      </c>
      <c r="L190" s="18">
        <f>IF(ISNUMBER(J190), $B199 * K190, "")</f>
        <v>4424.893259153836</v>
      </c>
      <c r="M190" s="31">
        <v>79400</v>
      </c>
      <c r="N190" s="32">
        <f t="shared" ref="N190:N193" si="105">IF(ISNUMBER(M190), (M190 - $B190) / $B190, "")</f>
        <v>2.729978004916548E-2</v>
      </c>
      <c r="O190" s="18">
        <f>IF(ISNUMBER(M190), $B199 * N190, "")</f>
        <v>8189.9340147496441</v>
      </c>
      <c r="Q190" s="290"/>
      <c r="R190" s="291"/>
      <c r="S190" s="292"/>
    </row>
    <row r="191" spans="1:19" ht="17.25" thickBot="1">
      <c r="A191" s="17" t="s">
        <v>162</v>
      </c>
      <c r="B191" s="15">
        <v>2180</v>
      </c>
      <c r="C191" s="32">
        <v>-3.1111111100000002E-2</v>
      </c>
      <c r="D191" s="15">
        <v>2205</v>
      </c>
      <c r="E191" s="32">
        <f t="shared" si="102"/>
        <v>1.1467889908256881E-2</v>
      </c>
      <c r="F191" s="18">
        <f>IF(ISNUMBER(D191), $B199 * E191, "")</f>
        <v>3440.3669724770643</v>
      </c>
      <c r="G191" s="31">
        <v>2210</v>
      </c>
      <c r="H191" s="32">
        <f t="shared" si="103"/>
        <v>1.3761467889908258E-2</v>
      </c>
      <c r="I191" s="97">
        <f>IF(ISNUMBER(G191), $B199 * H191, "")</f>
        <v>4128.440366972477</v>
      </c>
      <c r="J191" s="15">
        <v>2220</v>
      </c>
      <c r="K191" s="32">
        <f t="shared" si="104"/>
        <v>1.834862385321101E-2</v>
      </c>
      <c r="L191" s="18">
        <f>IF(ISNUMBER(J191), $B199 * K191, "")</f>
        <v>5504.5871559633033</v>
      </c>
      <c r="M191" s="31">
        <v>2205</v>
      </c>
      <c r="N191" s="32">
        <f t="shared" si="105"/>
        <v>1.1467889908256881E-2</v>
      </c>
      <c r="O191" s="18">
        <f>IF(ISNUMBER(M191), $B199 * N191, "")</f>
        <v>3440.3669724770643</v>
      </c>
      <c r="Q191" s="275"/>
      <c r="R191" s="275"/>
      <c r="S191" s="275"/>
    </row>
    <row r="192" spans="1:19" ht="17.25" thickBot="1">
      <c r="A192" s="17" t="s">
        <v>65</v>
      </c>
      <c r="B192" s="15">
        <v>75.8</v>
      </c>
      <c r="C192" s="32">
        <v>-3.1928480199999998E-2</v>
      </c>
      <c r="D192" s="15">
        <v>78.900000000000006</v>
      </c>
      <c r="E192" s="32">
        <f t="shared" si="102"/>
        <v>4.0897097625329927E-2</v>
      </c>
      <c r="F192" s="18">
        <f>IF(ISNUMBER(D192), $B199 * E192, "")</f>
        <v>12269.129287598978</v>
      </c>
      <c r="G192" s="31">
        <v>79.2</v>
      </c>
      <c r="H192" s="32">
        <f t="shared" si="103"/>
        <v>4.4854881266490843E-2</v>
      </c>
      <c r="I192" s="97">
        <f>IF(ISNUMBER(G192), $B199 * H192, "")</f>
        <v>13456.464379947252</v>
      </c>
      <c r="J192" s="15">
        <v>80</v>
      </c>
      <c r="K192" s="32">
        <f t="shared" si="104"/>
        <v>5.5408970976253337E-2</v>
      </c>
      <c r="L192" s="18">
        <f>IF(ISNUMBER(J192), $B199 * K192, "")</f>
        <v>16622.691292875999</v>
      </c>
      <c r="M192" s="31">
        <v>80</v>
      </c>
      <c r="N192" s="32">
        <f t="shared" si="105"/>
        <v>5.5408970976253337E-2</v>
      </c>
      <c r="O192" s="18">
        <f>IF(ISNUMBER(M192), $B199 * N192, "")</f>
        <v>16622.691292875999</v>
      </c>
      <c r="Q192" s="270"/>
      <c r="R192" s="270"/>
      <c r="S192" s="270"/>
    </row>
    <row r="193" spans="1:19" ht="17.25" thickBot="1">
      <c r="A193" s="19" t="s">
        <v>184</v>
      </c>
      <c r="B193" s="20">
        <v>2610</v>
      </c>
      <c r="C193" s="21">
        <v>-3.5120147900000002E-2</v>
      </c>
      <c r="D193" s="20">
        <v>2625</v>
      </c>
      <c r="E193" s="21">
        <f t="shared" si="102"/>
        <v>5.7471264367816091E-3</v>
      </c>
      <c r="F193" s="22">
        <f>IF(ISNUMBER(D193), $B199 * E193, "")</f>
        <v>1724.1379310344828</v>
      </c>
      <c r="G193" s="30">
        <v>2650</v>
      </c>
      <c r="H193" s="21">
        <f t="shared" si="103"/>
        <v>1.532567049808429E-2</v>
      </c>
      <c r="I193" s="101">
        <f>IF(ISNUMBER(G193), $B199 * H193, "")</f>
        <v>4597.7011494252874</v>
      </c>
      <c r="J193" s="20">
        <v>2655</v>
      </c>
      <c r="K193" s="21">
        <f t="shared" si="104"/>
        <v>1.7241379310344827E-2</v>
      </c>
      <c r="L193" s="22">
        <f>IF(ISNUMBER(J193), $B199 * K193, "")</f>
        <v>5172.4137931034484</v>
      </c>
      <c r="M193" s="30">
        <v>2665</v>
      </c>
      <c r="N193" s="21">
        <f t="shared" si="105"/>
        <v>2.1072796934865901E-2</v>
      </c>
      <c r="O193" s="22">
        <f>IF(ISNUMBER(M193), $B199 * N193, "")</f>
        <v>6321.8390804597702</v>
      </c>
      <c r="Q193" s="270"/>
      <c r="R193" s="270"/>
      <c r="S193" s="270"/>
    </row>
    <row r="194" spans="1:19" ht="17.25" thickBot="1">
      <c r="A194" s="17" t="s">
        <v>250</v>
      </c>
      <c r="B194" s="102">
        <v>242</v>
      </c>
      <c r="C194" s="103">
        <v>-3.5856573699999998E-2</v>
      </c>
      <c r="D194" s="102">
        <v>241</v>
      </c>
      <c r="E194" s="103">
        <f>IF(ISNUMBER(D194), (D194 - $B194) / $B194, "")</f>
        <v>-4.1322314049586778E-3</v>
      </c>
      <c r="F194" s="104">
        <f>IF(ISNUMBER(D194), $B199 * E194, "")</f>
        <v>-1239.6694214876034</v>
      </c>
      <c r="G194" s="105">
        <v>246</v>
      </c>
      <c r="H194" s="103">
        <f>IF(ISNUMBER(G194), (G194 - $B194) / $B194, "")</f>
        <v>1.6528925619834711E-2</v>
      </c>
      <c r="I194" s="106">
        <f>IF(ISNUMBER(G194), $B199 * H194, "")</f>
        <v>4958.6776859504134</v>
      </c>
      <c r="J194" s="102">
        <v>245</v>
      </c>
      <c r="K194" s="103">
        <f>IF(ISNUMBER(J194), (J194 - $B194) / $B194, "")</f>
        <v>1.2396694214876033E-2</v>
      </c>
      <c r="L194" s="104">
        <f>IF(ISNUMBER(J194), $B199 * K194, "")</f>
        <v>3719.0082644628101</v>
      </c>
      <c r="M194" s="105">
        <v>244</v>
      </c>
      <c r="N194" s="103">
        <f>IF(ISNUMBER(M194), (M194 - $B194) / $B194, "")</f>
        <v>8.2644628099173556E-3</v>
      </c>
      <c r="O194" s="104">
        <f>IF(ISNUMBER(M194), $B199 * N194, "")</f>
        <v>2479.3388429752067</v>
      </c>
      <c r="Q194" s="275"/>
      <c r="R194" s="275"/>
      <c r="S194" s="275"/>
    </row>
    <row r="195" spans="1:19" ht="17.25" thickBot="1">
      <c r="A195" s="17" t="s">
        <v>204</v>
      </c>
      <c r="B195" s="15">
        <v>9985</v>
      </c>
      <c r="C195" s="32">
        <v>-3.6196911200000001E-2</v>
      </c>
      <c r="D195" s="15">
        <v>9865</v>
      </c>
      <c r="E195" s="32">
        <f t="shared" ref="E195:E198" si="106">IF(ISNUMBER(D195), (D195 - $B195) / $B195, "")</f>
        <v>-1.2018027040560842E-2</v>
      </c>
      <c r="F195" s="18">
        <f>IF(ISNUMBER(D195), $B199 * E195, "")</f>
        <v>-3605.4081121682525</v>
      </c>
      <c r="G195" s="31">
        <v>9995</v>
      </c>
      <c r="H195" s="32">
        <f t="shared" ref="H195:H198" si="107">IF(ISNUMBER(G195), (G195 - $B195) / $B195, "")</f>
        <v>1.00150225338007E-3</v>
      </c>
      <c r="I195" s="97">
        <f>IF(ISNUMBER(G195), $B199 * H195, "")</f>
        <v>300.45067601402098</v>
      </c>
      <c r="J195" s="15">
        <v>10000</v>
      </c>
      <c r="K195" s="32">
        <f t="shared" ref="K195:K198" si="108">IF(ISNUMBER(J195), (J195 - $B195) / $B195, "")</f>
        <v>1.5022533800701052E-3</v>
      </c>
      <c r="L195" s="18">
        <f>IF(ISNUMBER(J195), $B199 * K195, "")</f>
        <v>450.67601402103156</v>
      </c>
      <c r="M195" s="31">
        <v>9915</v>
      </c>
      <c r="N195" s="32">
        <f t="shared" ref="N195:N198" si="109">IF(ISNUMBER(M195), (M195 - $B195) / $B195, "")</f>
        <v>-7.0105157736604909E-3</v>
      </c>
      <c r="O195" s="18">
        <f>IF(ISNUMBER(M195), $B199 * N195, "")</f>
        <v>-2103.1547320981472</v>
      </c>
      <c r="Q195" s="275"/>
      <c r="R195" s="275"/>
      <c r="S195" s="275"/>
    </row>
    <row r="196" spans="1:19" ht="17.25" thickBot="1">
      <c r="A196" s="17" t="s">
        <v>258</v>
      </c>
      <c r="B196" s="15">
        <v>752</v>
      </c>
      <c r="C196" s="32">
        <v>-3.7131882200000001E-2</v>
      </c>
      <c r="D196" s="15">
        <v>752</v>
      </c>
      <c r="E196" s="32">
        <f t="shared" si="106"/>
        <v>0</v>
      </c>
      <c r="F196" s="18">
        <f>IF(ISNUMBER(D196), $B199 * E196, "")</f>
        <v>0</v>
      </c>
      <c r="G196" s="31">
        <v>761</v>
      </c>
      <c r="H196" s="32">
        <f t="shared" si="107"/>
        <v>1.1968085106382979E-2</v>
      </c>
      <c r="I196" s="97">
        <f>IF(ISNUMBER(G196), $B199 * H196, "")</f>
        <v>3590.4255319148938</v>
      </c>
      <c r="J196" s="15">
        <v>764</v>
      </c>
      <c r="K196" s="32">
        <f t="shared" si="108"/>
        <v>1.5957446808510637E-2</v>
      </c>
      <c r="L196" s="18">
        <f>IF(ISNUMBER(J196), $B199 * K196, "")</f>
        <v>4787.2340425531911</v>
      </c>
      <c r="M196" s="31">
        <v>780</v>
      </c>
      <c r="N196" s="32">
        <f t="shared" si="109"/>
        <v>3.7234042553191488E-2</v>
      </c>
      <c r="O196" s="18">
        <f>IF(ISNUMBER(M196), $B199 * N196, "")</f>
        <v>11170.212765957447</v>
      </c>
      <c r="Q196" s="275"/>
      <c r="R196" s="275"/>
      <c r="S196" s="275"/>
    </row>
    <row r="197" spans="1:19">
      <c r="A197" s="17" t="s">
        <v>126</v>
      </c>
      <c r="B197" s="15">
        <v>68.7</v>
      </c>
      <c r="C197" s="32">
        <v>-3.7815126099999999E-2</v>
      </c>
      <c r="D197" s="15">
        <v>69.2</v>
      </c>
      <c r="E197" s="32">
        <f t="shared" si="106"/>
        <v>7.2780203784570596E-3</v>
      </c>
      <c r="F197" s="18">
        <f>IF(ISNUMBER(D197), $B199 * E197, "")</f>
        <v>2183.406113537118</v>
      </c>
      <c r="G197" s="31">
        <v>69.400000000000006</v>
      </c>
      <c r="H197" s="32">
        <f t="shared" si="107"/>
        <v>1.0189228529839925E-2</v>
      </c>
      <c r="I197" s="97">
        <f>IF(ISNUMBER(G197), $B199 * H197, "")</f>
        <v>3056.7685589519774</v>
      </c>
      <c r="J197" s="15">
        <v>69.7</v>
      </c>
      <c r="K197" s="32">
        <f t="shared" si="108"/>
        <v>1.4556040756914119E-2</v>
      </c>
      <c r="L197" s="18">
        <f>IF(ISNUMBER(J197), $B199 * K197, "")</f>
        <v>4366.812227074236</v>
      </c>
      <c r="M197" s="31">
        <v>68.7</v>
      </c>
      <c r="N197" s="32">
        <f t="shared" si="109"/>
        <v>0</v>
      </c>
      <c r="O197" s="18">
        <f>IF(ISNUMBER(M197), $B199 * N197, "")</f>
        <v>0</v>
      </c>
      <c r="Q197" s="297"/>
      <c r="R197" s="298"/>
      <c r="S197" s="299"/>
    </row>
    <row r="198" spans="1:19" ht="17.25" thickBot="1">
      <c r="A198" s="23" t="s">
        <v>92</v>
      </c>
      <c r="B198" s="24">
        <v>1885</v>
      </c>
      <c r="C198" s="25">
        <v>-4.0712468199999997E-2</v>
      </c>
      <c r="D198" s="24">
        <v>1935</v>
      </c>
      <c r="E198" s="25">
        <f t="shared" si="106"/>
        <v>2.6525198938992044E-2</v>
      </c>
      <c r="F198" s="100">
        <f>IF(ISNUMBER(D198), $B199 * E198, "")</f>
        <v>7957.5596816976131</v>
      </c>
      <c r="G198" s="98">
        <v>1915</v>
      </c>
      <c r="H198" s="25">
        <f t="shared" si="107"/>
        <v>1.5915119363395226E-2</v>
      </c>
      <c r="I198" s="99">
        <f>IF(ISNUMBER(G198), $B199 * H198, "")</f>
        <v>4774.5358090185673</v>
      </c>
      <c r="J198" s="24">
        <v>1925</v>
      </c>
      <c r="K198" s="25">
        <f t="shared" si="108"/>
        <v>2.1220159151193633E-2</v>
      </c>
      <c r="L198" s="100">
        <f>IF(ISNUMBER(J198), $B199 * K198, "")</f>
        <v>6366.0477453580897</v>
      </c>
      <c r="M198" s="98">
        <v>1880</v>
      </c>
      <c r="N198" s="25">
        <f t="shared" si="109"/>
        <v>-2.6525198938992041E-3</v>
      </c>
      <c r="O198" s="100">
        <f>IF(ISNUMBER(M198), $B199 * N198, "")</f>
        <v>-795.75596816976122</v>
      </c>
      <c r="Q198" s="300"/>
      <c r="R198" s="301"/>
      <c r="S198" s="302"/>
    </row>
    <row r="199" spans="1:19" ht="17.25" thickBot="1">
      <c r="A199" s="26" t="s">
        <v>301</v>
      </c>
      <c r="B199" s="306">
        <f>$B$37</f>
        <v>300000</v>
      </c>
      <c r="C199" s="307"/>
      <c r="D199" s="26" t="s">
        <v>302</v>
      </c>
      <c r="E199" s="27">
        <f>IF(COUNT(E179:E198), SUM(E179:E198) / COUNT(E179:E198), 0)</f>
        <v>1.1975046889747402E-2</v>
      </c>
      <c r="F199" s="28">
        <f>SUM(F179:F198)</f>
        <v>71850.281338484405</v>
      </c>
      <c r="G199" s="26" t="s">
        <v>302</v>
      </c>
      <c r="H199" s="27">
        <f>IF(COUNT(H179:H198), SUM(H179:H198) / COUNT(H179:H198), 0)</f>
        <v>2.5171584135429977E-2</v>
      </c>
      <c r="I199" s="28">
        <f>SUM(I179:I198)</f>
        <v>151029.50481257981</v>
      </c>
      <c r="J199" s="26" t="s">
        <v>302</v>
      </c>
      <c r="K199" s="27">
        <f>IF(COUNT(K179:K198), SUM(K179:K198) / COUNT(K179:K198), 0)</f>
        <v>2.7082421484333614E-2</v>
      </c>
      <c r="L199" s="28">
        <f>SUM(L179:L198)</f>
        <v>162494.52890600168</v>
      </c>
      <c r="M199" s="26" t="s">
        <v>302</v>
      </c>
      <c r="N199" s="27">
        <f>IF(COUNT(N179:N198), SUM(N179:N198) / COUNT(N179:N198), 0)</f>
        <v>2.1759591004756114E-2</v>
      </c>
      <c r="O199" s="28">
        <f>SUM(O179:O198)</f>
        <v>130557.54602853667</v>
      </c>
      <c r="Q199" s="303"/>
      <c r="R199" s="304"/>
      <c r="S199" s="30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5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5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5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5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93" priority="157">
      <formula>AND($N17 &gt; 0, ISNUMBER($N17))</formula>
    </cfRule>
    <cfRule type="expression" dxfId="2492" priority="158">
      <formula>AND($N17 = 0 * ISNUMBER($N17))</formula>
    </cfRule>
    <cfRule type="expression" dxfId="2491" priority="159">
      <formula>AND($N17 &lt; 0, ISNUMBER($N17))</formula>
    </cfRule>
  </conditionalFormatting>
  <conditionalFormatting sqref="A17:F36">
    <cfRule type="expression" dxfId="2490" priority="166">
      <formula>AND($E17 &gt; 0, ISNUMBER($E17))</formula>
    </cfRule>
    <cfRule type="expression" dxfId="2489" priority="167">
      <formula>AND($E17 = 0 * ISNUMBER($E17))</formula>
    </cfRule>
    <cfRule type="expression" dxfId="2488" priority="168">
      <formula>AND($E17 &lt; 0, ISNUMBER($E17))</formula>
    </cfRule>
  </conditionalFormatting>
  <conditionalFormatting sqref="A17:C36 G17:I36">
    <cfRule type="expression" dxfId="2487" priority="163">
      <formula>AND($H17 &gt; 0, ISNUMBER($H17))</formula>
    </cfRule>
    <cfRule type="expression" dxfId="2486" priority="164">
      <formula>AND($H17 = 0 * ISNUMBER($H17))</formula>
    </cfRule>
    <cfRule type="expression" dxfId="2485" priority="165">
      <formula>AND($H17 &lt; 0, ISNUMBER($H17))</formula>
    </cfRule>
  </conditionalFormatting>
  <conditionalFormatting sqref="A17:C36 J17:L36">
    <cfRule type="expression" dxfId="2484" priority="160">
      <formula>AND($K17 &gt; 0, ISNUMBER($K17))</formula>
    </cfRule>
    <cfRule type="expression" dxfId="2483" priority="161">
      <formula>AND($K17 = 0 * ISNUMBER($K17))</formula>
    </cfRule>
    <cfRule type="expression" dxfId="2482" priority="162">
      <formula>AND($K17 &lt; 0, ISNUMBER($K17))</formula>
    </cfRule>
  </conditionalFormatting>
  <conditionalFormatting sqref="D15:F16 E37:F37">
    <cfRule type="expression" dxfId="2481" priority="154">
      <formula>$E$37 &gt; 0</formula>
    </cfRule>
    <cfRule type="expression" dxfId="2480" priority="155">
      <formula>$E$37 = 0</formula>
    </cfRule>
    <cfRule type="expression" dxfId="2479" priority="156">
      <formula>$E$37 &lt; 0</formula>
    </cfRule>
  </conditionalFormatting>
  <conditionalFormatting sqref="G15:I16 H37:I37">
    <cfRule type="expression" dxfId="2478" priority="151">
      <formula>$H$37 &gt; 0</formula>
    </cfRule>
    <cfRule type="expression" dxfId="2477" priority="152">
      <formula>$H$37 = 0</formula>
    </cfRule>
    <cfRule type="expression" dxfId="2476" priority="153">
      <formula>$H$37 &lt; 0</formula>
    </cfRule>
  </conditionalFormatting>
  <conditionalFormatting sqref="J15:L16 K37:L37">
    <cfRule type="expression" dxfId="2475" priority="148">
      <formula>$K$37 &gt; 0</formula>
    </cfRule>
    <cfRule type="expression" dxfId="2474" priority="149">
      <formula>$K$37 = 0</formula>
    </cfRule>
    <cfRule type="expression" dxfId="2473" priority="150">
      <formula>$K$37 &lt; 0</formula>
    </cfRule>
  </conditionalFormatting>
  <conditionalFormatting sqref="M15:O16 N37:O37">
    <cfRule type="expression" dxfId="2472" priority="145">
      <formula>$N$37 &gt; 0</formula>
    </cfRule>
    <cfRule type="expression" dxfId="2471" priority="146">
      <formula>$N$37 = 0</formula>
    </cfRule>
    <cfRule type="expression" dxfId="2470" priority="147">
      <formula>$N$37 &lt; 0</formula>
    </cfRule>
  </conditionalFormatting>
  <conditionalFormatting sqref="A44:C63 M44:O63">
    <cfRule type="expression" dxfId="2469" priority="133">
      <formula>AND($N44 &gt; 0, ISNUMBER($N44))</formula>
    </cfRule>
    <cfRule type="expression" dxfId="2468" priority="134">
      <formula>AND($N44 = 0 * ISNUMBER($N44))</formula>
    </cfRule>
    <cfRule type="expression" dxfId="2467" priority="135">
      <formula>AND($N44 &lt; 0, ISNUMBER($N44))</formula>
    </cfRule>
  </conditionalFormatting>
  <conditionalFormatting sqref="A44:F63">
    <cfRule type="expression" dxfId="2466" priority="142">
      <formula>AND($E44 &gt; 0, ISNUMBER($E44))</formula>
    </cfRule>
    <cfRule type="expression" dxfId="2465" priority="143">
      <formula>AND($E44 = 0 * ISNUMBER($E44))</formula>
    </cfRule>
    <cfRule type="expression" dxfId="2464" priority="144">
      <formula>AND($E44 &lt; 0, ISNUMBER($E44))</formula>
    </cfRule>
  </conditionalFormatting>
  <conditionalFormatting sqref="A44:C63 G44:I63">
    <cfRule type="expression" dxfId="2463" priority="139">
      <formula>AND($H44 &gt; 0, ISNUMBER($H44))</formula>
    </cfRule>
    <cfRule type="expression" dxfId="2462" priority="140">
      <formula>AND($H44 = 0 * ISNUMBER($H44))</formula>
    </cfRule>
    <cfRule type="expression" dxfId="2461" priority="141">
      <formula>AND($H44 &lt; 0, ISNUMBER($H44))</formula>
    </cfRule>
  </conditionalFormatting>
  <conditionalFormatting sqref="A44:C63 J44:L63">
    <cfRule type="expression" dxfId="2460" priority="136">
      <formula>AND($K44 &gt; 0, ISNUMBER($K44))</formula>
    </cfRule>
    <cfRule type="expression" dxfId="2459" priority="137">
      <formula>AND($K44 = 0 * ISNUMBER($K44))</formula>
    </cfRule>
    <cfRule type="expression" dxfId="2458" priority="138">
      <formula>AND($K44 &lt; 0, ISNUMBER($K44))</formula>
    </cfRule>
  </conditionalFormatting>
  <conditionalFormatting sqref="D42:F43 E64:F64">
    <cfRule type="expression" dxfId="2457" priority="130">
      <formula>$E$64 &gt; 0</formula>
    </cfRule>
    <cfRule type="expression" dxfId="2456" priority="131">
      <formula>$E$64 = 0</formula>
    </cfRule>
    <cfRule type="expression" dxfId="2455" priority="132">
      <formula>$E$64 &lt; 0</formula>
    </cfRule>
  </conditionalFormatting>
  <conditionalFormatting sqref="G42:I43 H64:I64">
    <cfRule type="expression" dxfId="2454" priority="127">
      <formula>$H$64 &gt; 0</formula>
    </cfRule>
    <cfRule type="expression" dxfId="2453" priority="128">
      <formula>$H$64 = 0</formula>
    </cfRule>
    <cfRule type="expression" dxfId="2452" priority="129">
      <formula>$H$64 &lt; 0</formula>
    </cfRule>
  </conditionalFormatting>
  <conditionalFormatting sqref="J42:L43 K64:L64">
    <cfRule type="expression" dxfId="2451" priority="124">
      <formula>$K$64 &gt; 0</formula>
    </cfRule>
    <cfRule type="expression" dxfId="2450" priority="125">
      <formula>$K$64 = 0</formula>
    </cfRule>
    <cfRule type="expression" dxfId="2449" priority="126">
      <formula>$K$64 &lt; 0</formula>
    </cfRule>
  </conditionalFormatting>
  <conditionalFormatting sqref="M42:O43 N64:O64">
    <cfRule type="expression" dxfId="2448" priority="121">
      <formula>$N$64 &gt; 0</formula>
    </cfRule>
    <cfRule type="expression" dxfId="2447" priority="122">
      <formula>$N$64 = 0</formula>
    </cfRule>
    <cfRule type="expression" dxfId="2446" priority="123">
      <formula>$N$64 &lt; 0</formula>
    </cfRule>
  </conditionalFormatting>
  <conditionalFormatting sqref="A71:C90 M71:O90">
    <cfRule type="expression" dxfId="2445" priority="109">
      <formula>AND($N71 &gt; 0, ISNUMBER($N71))</formula>
    </cfRule>
    <cfRule type="expression" dxfId="2444" priority="110">
      <formula>AND($N71 = 0 * ISNUMBER($N71))</formula>
    </cfRule>
    <cfRule type="expression" dxfId="2443" priority="111">
      <formula>AND($N71 &lt; 0, ISNUMBER($N71))</formula>
    </cfRule>
  </conditionalFormatting>
  <conditionalFormatting sqref="A71:F90">
    <cfRule type="expression" dxfId="2442" priority="118">
      <formula>AND($E71 &gt; 0, ISNUMBER($E71))</formula>
    </cfRule>
    <cfRule type="expression" dxfId="2441" priority="119">
      <formula>AND($E71 = 0 * ISNUMBER($E71))</formula>
    </cfRule>
    <cfRule type="expression" dxfId="2440" priority="120">
      <formula>AND($E71 &lt; 0, ISNUMBER($E71))</formula>
    </cfRule>
  </conditionalFormatting>
  <conditionalFormatting sqref="A71:C90 G71:I90">
    <cfRule type="expression" dxfId="2439" priority="115">
      <formula>AND($H71 &gt; 0, ISNUMBER($H71))</formula>
    </cfRule>
    <cfRule type="expression" dxfId="2438" priority="116">
      <formula>AND($H71 = 0 * ISNUMBER($H71))</formula>
    </cfRule>
    <cfRule type="expression" dxfId="2437" priority="117">
      <formula>AND($H71 &lt; 0, ISNUMBER($H71))</formula>
    </cfRule>
  </conditionalFormatting>
  <conditionalFormatting sqref="A71:C90 J71:L90">
    <cfRule type="expression" dxfId="2436" priority="112">
      <formula>AND($K71 &gt; 0, ISNUMBER($K71))</formula>
    </cfRule>
    <cfRule type="expression" dxfId="2435" priority="113">
      <formula>AND($K71 = 0 * ISNUMBER($K71))</formula>
    </cfRule>
    <cfRule type="expression" dxfId="2434" priority="114">
      <formula>AND($K71 &lt; 0, ISNUMBER($K71))</formula>
    </cfRule>
  </conditionalFormatting>
  <conditionalFormatting sqref="D69:F70 E91:F91">
    <cfRule type="expression" dxfId="2433" priority="106">
      <formula>$E$91 &gt; 0</formula>
    </cfRule>
    <cfRule type="expression" dxfId="2432" priority="107">
      <formula>$E$91 = 0</formula>
    </cfRule>
    <cfRule type="expression" dxfId="2431" priority="108">
      <formula>$E$91 &lt; 0</formula>
    </cfRule>
  </conditionalFormatting>
  <conditionalFormatting sqref="G69:I70 H91:I91">
    <cfRule type="expression" dxfId="2430" priority="103">
      <formula>$H$91 &gt; 0</formula>
    </cfRule>
    <cfRule type="expression" dxfId="2429" priority="104">
      <formula>$H$91 = 0</formula>
    </cfRule>
    <cfRule type="expression" dxfId="2428" priority="105">
      <formula>$H$91 &lt; 0</formula>
    </cfRule>
  </conditionalFormatting>
  <conditionalFormatting sqref="J69:L70 K91:L91">
    <cfRule type="expression" dxfId="2427" priority="100">
      <formula>$K$91 &gt; 0</formula>
    </cfRule>
    <cfRule type="expression" dxfId="2426" priority="101">
      <formula>$K$91 = 0</formula>
    </cfRule>
    <cfRule type="expression" dxfId="2425" priority="102">
      <formula>$K$91 &lt; 0</formula>
    </cfRule>
  </conditionalFormatting>
  <conditionalFormatting sqref="M69:O70 N91:O91">
    <cfRule type="expression" dxfId="2424" priority="97">
      <formula>$N$91 &gt; 0</formula>
    </cfRule>
    <cfRule type="expression" dxfId="2423" priority="98">
      <formula>$N$91 = 0</formula>
    </cfRule>
    <cfRule type="expression" dxfId="2422" priority="99">
      <formula>$N$91 &lt; 0</formula>
    </cfRule>
  </conditionalFormatting>
  <conditionalFormatting sqref="A98:C117 M98:O117">
    <cfRule type="expression" dxfId="2421" priority="85">
      <formula>AND($N98 &gt; 0, ISNUMBER($N98))</formula>
    </cfRule>
    <cfRule type="expression" dxfId="2420" priority="86">
      <formula>AND($N98 = 0 * ISNUMBER($N98))</formula>
    </cfRule>
    <cfRule type="expression" dxfId="2419" priority="87">
      <formula>AND($N98 &lt; 0, ISNUMBER($N98))</formula>
    </cfRule>
  </conditionalFormatting>
  <conditionalFormatting sqref="A98:F117">
    <cfRule type="expression" dxfId="2418" priority="94">
      <formula>AND($E98 &gt; 0, ISNUMBER($E98))</formula>
    </cfRule>
    <cfRule type="expression" dxfId="2417" priority="95">
      <formula>AND($E98 = 0 * ISNUMBER($E98))</formula>
    </cfRule>
    <cfRule type="expression" dxfId="2416" priority="96">
      <formula>AND($E98 &lt; 0, ISNUMBER($E98))</formula>
    </cfRule>
  </conditionalFormatting>
  <conditionalFormatting sqref="A98:C117 G98:I117">
    <cfRule type="expression" dxfId="2415" priority="91">
      <formula>AND($H98 &gt; 0, ISNUMBER($H98))</formula>
    </cfRule>
    <cfRule type="expression" dxfId="2414" priority="92">
      <formula>AND($H98 = 0 * ISNUMBER($H98))</formula>
    </cfRule>
    <cfRule type="expression" dxfId="2413" priority="93">
      <formula>AND($H98 &lt; 0, ISNUMBER($H98))</formula>
    </cfRule>
  </conditionalFormatting>
  <conditionalFormatting sqref="A98:C117 J98:L117">
    <cfRule type="expression" dxfId="2412" priority="88">
      <formula>AND($K98 &gt; 0, ISNUMBER($K98))</formula>
    </cfRule>
    <cfRule type="expression" dxfId="2411" priority="89">
      <formula>AND($K98 = 0 * ISNUMBER($K98))</formula>
    </cfRule>
    <cfRule type="expression" dxfId="2410" priority="90">
      <formula>AND($K98 &lt; 0, ISNUMBER($K98))</formula>
    </cfRule>
  </conditionalFormatting>
  <conditionalFormatting sqref="D96:F97 E118:F118">
    <cfRule type="expression" dxfId="2409" priority="82">
      <formula>$E$118 &gt; 0</formula>
    </cfRule>
    <cfRule type="expression" dxfId="2408" priority="83">
      <formula>$E$118 = 0</formula>
    </cfRule>
    <cfRule type="expression" dxfId="2407" priority="84">
      <formula>$E$118 &lt; 0</formula>
    </cfRule>
  </conditionalFormatting>
  <conditionalFormatting sqref="G96:I97 H118:I118">
    <cfRule type="expression" dxfId="2406" priority="79">
      <formula>$H$118 &gt; 0</formula>
    </cfRule>
    <cfRule type="expression" dxfId="2405" priority="80">
      <formula>$H$118 = 0</formula>
    </cfRule>
    <cfRule type="expression" dxfId="2404" priority="81">
      <formula>$H$118 &lt; 0</formula>
    </cfRule>
  </conditionalFormatting>
  <conditionalFormatting sqref="J96:L97 K118:L118">
    <cfRule type="expression" dxfId="2403" priority="76">
      <formula>$K$118 &gt; 0</formula>
    </cfRule>
    <cfRule type="expression" dxfId="2402" priority="77">
      <formula>$K$118 = 0</formula>
    </cfRule>
    <cfRule type="expression" dxfId="2401" priority="78">
      <formula>$K$118 &lt; 0</formula>
    </cfRule>
  </conditionalFormatting>
  <conditionalFormatting sqref="M96:O97 N118:O118">
    <cfRule type="expression" dxfId="2400" priority="73">
      <formula>$N$118 &gt; 0</formula>
    </cfRule>
    <cfRule type="expression" dxfId="2399" priority="74">
      <formula>$N$118 = 0</formula>
    </cfRule>
    <cfRule type="expression" dxfId="2398" priority="75">
      <formula>$N$118 &lt; 0</formula>
    </cfRule>
  </conditionalFormatting>
  <conditionalFormatting sqref="A125:C144 M125:O144">
    <cfRule type="expression" dxfId="2397" priority="61">
      <formula>AND($N125 &gt; 0, ISNUMBER($N125))</formula>
    </cfRule>
    <cfRule type="expression" dxfId="2396" priority="62">
      <formula>AND($N125 = 0 * ISNUMBER($N125))</formula>
    </cfRule>
    <cfRule type="expression" dxfId="2395" priority="63">
      <formula>AND($N125 &lt; 0, ISNUMBER($N125))</formula>
    </cfRule>
  </conditionalFormatting>
  <conditionalFormatting sqref="A125:F144">
    <cfRule type="expression" dxfId="2394" priority="70">
      <formula>AND($E125 &gt; 0, ISNUMBER($E125))</formula>
    </cfRule>
    <cfRule type="expression" dxfId="2393" priority="71">
      <formula>AND($E125 = 0 * ISNUMBER($E125))</formula>
    </cfRule>
    <cfRule type="expression" dxfId="2392" priority="72">
      <formula>AND($E125 &lt; 0, ISNUMBER($E125))</formula>
    </cfRule>
  </conditionalFormatting>
  <conditionalFormatting sqref="A125:C144 G125:I144">
    <cfRule type="expression" dxfId="2391" priority="67">
      <formula>AND($H125 &gt; 0, ISNUMBER($H125))</formula>
    </cfRule>
    <cfRule type="expression" dxfId="2390" priority="68">
      <formula>AND($H125 = 0 * ISNUMBER($H125))</formula>
    </cfRule>
    <cfRule type="expression" dxfId="2389" priority="69">
      <formula>AND($H125 &lt; 0, ISNUMBER($H125))</formula>
    </cfRule>
  </conditionalFormatting>
  <conditionalFormatting sqref="A125:C144 J125:L144">
    <cfRule type="expression" dxfId="2388" priority="64">
      <formula>AND($K125 &gt; 0, ISNUMBER($K125))</formula>
    </cfRule>
    <cfRule type="expression" dxfId="2387" priority="65">
      <formula>AND($K125 = 0 * ISNUMBER($K125))</formula>
    </cfRule>
    <cfRule type="expression" dxfId="2386" priority="66">
      <formula>AND($K125 &lt; 0, ISNUMBER($K125))</formula>
    </cfRule>
  </conditionalFormatting>
  <conditionalFormatting sqref="D123:F124 E145:F145">
    <cfRule type="expression" dxfId="2385" priority="58">
      <formula>$E$145 &gt; 0</formula>
    </cfRule>
    <cfRule type="expression" dxfId="2384" priority="59">
      <formula>$E$145 = 0</formula>
    </cfRule>
    <cfRule type="expression" dxfId="2383" priority="60">
      <formula>$E$145 &lt; 0</formula>
    </cfRule>
  </conditionalFormatting>
  <conditionalFormatting sqref="G123:I124 H145:I145">
    <cfRule type="expression" dxfId="2382" priority="55">
      <formula>$H$145 &gt; 0</formula>
    </cfRule>
    <cfRule type="expression" dxfId="2381" priority="56">
      <formula>$H$145 = 0</formula>
    </cfRule>
    <cfRule type="expression" dxfId="2380" priority="57">
      <formula>$H$145 &lt; 0</formula>
    </cfRule>
  </conditionalFormatting>
  <conditionalFormatting sqref="J123:L124 K145:L145">
    <cfRule type="expression" dxfId="2379" priority="52">
      <formula>$K$145 &gt; 0</formula>
    </cfRule>
    <cfRule type="expression" dxfId="2378" priority="53">
      <formula>$K$145 = 0</formula>
    </cfRule>
    <cfRule type="expression" dxfId="2377" priority="54">
      <formula>$K$145 &lt; 0</formula>
    </cfRule>
  </conditionalFormatting>
  <conditionalFormatting sqref="M123:O124 N145:O145">
    <cfRule type="expression" dxfId="2376" priority="49">
      <formula>$N$145 &gt; 0</formula>
    </cfRule>
    <cfRule type="expression" dxfId="2375" priority="50">
      <formula>$N$145 = 0</formula>
    </cfRule>
    <cfRule type="expression" dxfId="2374" priority="51">
      <formula>$N$145 &lt; 0</formula>
    </cfRule>
  </conditionalFormatting>
  <conditionalFormatting sqref="A152:C171 M152:O171">
    <cfRule type="expression" dxfId="2373" priority="37">
      <formula>AND($N152 &gt; 0, ISNUMBER($N152))</formula>
    </cfRule>
    <cfRule type="expression" dxfId="2372" priority="38">
      <formula>AND($N152 = 0 * ISNUMBER($N152))</formula>
    </cfRule>
    <cfRule type="expression" dxfId="2371" priority="39">
      <formula>AND($N152 &lt; 0, ISNUMBER($N152))</formula>
    </cfRule>
  </conditionalFormatting>
  <conditionalFormatting sqref="A152:F171">
    <cfRule type="expression" dxfId="2370" priority="46">
      <formula>AND($E152 &gt; 0, ISNUMBER($E152))</formula>
    </cfRule>
    <cfRule type="expression" dxfId="2369" priority="47">
      <formula>AND($E152 = 0 * ISNUMBER($E152))</formula>
    </cfRule>
    <cfRule type="expression" dxfId="2368" priority="48">
      <formula>AND($E152 &lt; 0, ISNUMBER($E152))</formula>
    </cfRule>
  </conditionalFormatting>
  <conditionalFormatting sqref="A152:C171 G152:I171">
    <cfRule type="expression" dxfId="2367" priority="43">
      <formula>AND($H152 &gt; 0, ISNUMBER($H152))</formula>
    </cfRule>
    <cfRule type="expression" dxfId="2366" priority="44">
      <formula>AND($H152 = 0 * ISNUMBER($H152))</formula>
    </cfRule>
    <cfRule type="expression" dxfId="2365" priority="45">
      <formula>AND($H152 &lt; 0, ISNUMBER($H152))</formula>
    </cfRule>
  </conditionalFormatting>
  <conditionalFormatting sqref="A152:C171 J152:L171">
    <cfRule type="expression" dxfId="2364" priority="40">
      <formula>AND($K152 &gt; 0, ISNUMBER($K152))</formula>
    </cfRule>
    <cfRule type="expression" dxfId="2363" priority="41">
      <formula>AND($K152 = 0 * ISNUMBER($K152))</formula>
    </cfRule>
    <cfRule type="expression" dxfId="2362" priority="42">
      <formula>AND($K152 &lt; 0, ISNUMBER($K152))</formula>
    </cfRule>
  </conditionalFormatting>
  <conditionalFormatting sqref="D150:F151 E172:F172">
    <cfRule type="expression" dxfId="2361" priority="34">
      <formula>$E$172 &gt; 0</formula>
    </cfRule>
    <cfRule type="expression" dxfId="2360" priority="35">
      <formula>$E$172 = 0</formula>
    </cfRule>
    <cfRule type="expression" dxfId="2359" priority="36">
      <formula>$E$172 &lt; 0</formula>
    </cfRule>
  </conditionalFormatting>
  <conditionalFormatting sqref="G150:I151 H172:I172">
    <cfRule type="expression" dxfId="2358" priority="31">
      <formula>$H$172 &gt; 0</formula>
    </cfRule>
    <cfRule type="expression" dxfId="2357" priority="32">
      <formula>$H$172 = 0</formula>
    </cfRule>
    <cfRule type="expression" dxfId="2356" priority="33">
      <formula>$H$172 &lt; 0</formula>
    </cfRule>
  </conditionalFormatting>
  <conditionalFormatting sqref="J150:L151 K172:L172">
    <cfRule type="expression" dxfId="2355" priority="28">
      <formula>$K$172 &gt; 0</formula>
    </cfRule>
    <cfRule type="expression" dxfId="2354" priority="29">
      <formula>$K$172 = 0</formula>
    </cfRule>
    <cfRule type="expression" dxfId="2353" priority="30">
      <formula>$K$172 &lt; 0</formula>
    </cfRule>
  </conditionalFormatting>
  <conditionalFormatting sqref="M150:O151 N172:O172">
    <cfRule type="expression" dxfId="2352" priority="25">
      <formula>$N$172 &gt; 0</formula>
    </cfRule>
    <cfRule type="expression" dxfId="2351" priority="26">
      <formula>$N$172 = 0</formula>
    </cfRule>
    <cfRule type="expression" dxfId="2350" priority="27">
      <formula>$N$172 &lt; 0</formula>
    </cfRule>
  </conditionalFormatting>
  <conditionalFormatting sqref="A179:C198 M179:O198">
    <cfRule type="expression" dxfId="2349" priority="13">
      <formula>AND($N179 &gt; 0, ISNUMBER($N179))</formula>
    </cfRule>
    <cfRule type="expression" dxfId="2348" priority="14">
      <formula>AND($N179 = 0 * ISNUMBER($N179))</formula>
    </cfRule>
    <cfRule type="expression" dxfId="2347" priority="15">
      <formula>AND($N179 &lt; 0, ISNUMBER($N179))</formula>
    </cfRule>
  </conditionalFormatting>
  <conditionalFormatting sqref="A179:F198">
    <cfRule type="expression" dxfId="2346" priority="22">
      <formula>AND($E179 &gt; 0, ISNUMBER($E179))</formula>
    </cfRule>
    <cfRule type="expression" dxfId="2345" priority="23">
      <formula>AND($E179 = 0 * ISNUMBER($E179))</formula>
    </cfRule>
    <cfRule type="expression" dxfId="2344" priority="24">
      <formula>AND($E179 &lt; 0, ISNUMBER($E179))</formula>
    </cfRule>
  </conditionalFormatting>
  <conditionalFormatting sqref="A179:C198 G179:I198">
    <cfRule type="expression" dxfId="2343" priority="19">
      <formula>AND($H179 &gt; 0, ISNUMBER($H179))</formula>
    </cfRule>
    <cfRule type="expression" dxfId="2342" priority="20">
      <formula>AND($H179 = 0 * ISNUMBER($H179))</formula>
    </cfRule>
    <cfRule type="expression" dxfId="2341" priority="21">
      <formula>AND($H179 &lt; 0, ISNUMBER($H179))</formula>
    </cfRule>
  </conditionalFormatting>
  <conditionalFormatting sqref="A179:C198 J179:L198">
    <cfRule type="expression" dxfId="2340" priority="16">
      <formula>AND($K179 &gt; 0, ISNUMBER($K179))</formula>
    </cfRule>
    <cfRule type="expression" dxfId="2339" priority="17">
      <formula>AND($K179 = 0 * ISNUMBER($K179))</formula>
    </cfRule>
    <cfRule type="expression" dxfId="2338" priority="18">
      <formula>AND($K179 &lt; 0, ISNUMBER($K179))</formula>
    </cfRule>
  </conditionalFormatting>
  <conditionalFormatting sqref="D177:F178 E199:F199">
    <cfRule type="expression" dxfId="2337" priority="10">
      <formula>$E$199 &gt; 0</formula>
    </cfRule>
    <cfRule type="expression" dxfId="2336" priority="11">
      <formula>$E$199 = 0</formula>
    </cfRule>
    <cfRule type="expression" dxfId="2335" priority="12">
      <formula>$E$199 &lt; 0</formula>
    </cfRule>
  </conditionalFormatting>
  <conditionalFormatting sqref="G177:I178 H199:I199">
    <cfRule type="expression" dxfId="2334" priority="7">
      <formula>$H$199 &gt; 0</formula>
    </cfRule>
    <cfRule type="expression" dxfId="2333" priority="8">
      <formula>$H$199 = 0</formula>
    </cfRule>
    <cfRule type="expression" dxfId="2332" priority="9">
      <formula>$H$199 &lt; 0</formula>
    </cfRule>
  </conditionalFormatting>
  <conditionalFormatting sqref="J177:L178 K199:L199">
    <cfRule type="expression" dxfId="2331" priority="4">
      <formula>$K$199 &gt; 0</formula>
    </cfRule>
    <cfRule type="expression" dxfId="2330" priority="5">
      <formula>$K$199 = 0</formula>
    </cfRule>
    <cfRule type="expression" dxfId="2329" priority="6">
      <formula>$K$199 &lt; 0</formula>
    </cfRule>
  </conditionalFormatting>
  <conditionalFormatting sqref="M177:O178 N199:O199">
    <cfRule type="expression" dxfId="2328" priority="1">
      <formula>$N$199 &gt; 0</formula>
    </cfRule>
    <cfRule type="expression" dxfId="2327" priority="2">
      <formula>$N$199 = 0</formula>
    </cfRule>
    <cfRule type="expression" dxfId="23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8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1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6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0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5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0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5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091BF-1577-4AAF-B199-74F4052C30B7}">
  <sheetPr codeName="Sheet10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12.25" style="119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9" t="s">
        <v>0</v>
      </c>
      <c r="B1" s="250"/>
      <c r="C1" s="250"/>
      <c r="D1" s="250"/>
      <c r="E1" s="250"/>
      <c r="F1" s="251"/>
      <c r="G1" s="252">
        <v>44320</v>
      </c>
      <c r="H1" s="253"/>
      <c r="I1" s="254"/>
      <c r="J1" s="249" t="s">
        <v>1</v>
      </c>
      <c r="K1" s="250"/>
      <c r="L1" s="250"/>
      <c r="M1" s="250"/>
      <c r="N1" s="250"/>
      <c r="O1" s="251"/>
      <c r="Q1" s="249" t="s">
        <v>2</v>
      </c>
      <c r="R1" s="251"/>
    </row>
    <row r="2" spans="1:19" ht="17.25" customHeight="1">
      <c r="A2" s="116" t="s">
        <v>3</v>
      </c>
      <c r="B2" s="255" t="s">
        <v>4</v>
      </c>
      <c r="C2" s="256"/>
      <c r="D2" s="256"/>
      <c r="E2" s="256"/>
      <c r="F2" s="257"/>
      <c r="G2" s="258" t="s">
        <v>46</v>
      </c>
      <c r="H2" s="259"/>
      <c r="I2" s="260"/>
      <c r="J2" s="1" t="s">
        <v>3</v>
      </c>
      <c r="K2" s="255" t="s">
        <v>5</v>
      </c>
      <c r="L2" s="256"/>
      <c r="M2" s="256"/>
      <c r="N2" s="256"/>
      <c r="O2" s="257"/>
      <c r="Q2" s="2" t="s">
        <v>6</v>
      </c>
      <c r="R2" s="3">
        <v>0.375</v>
      </c>
    </row>
    <row r="3" spans="1:19" ht="17.25" customHeight="1" thickBot="1">
      <c r="A3" s="117" t="s">
        <v>7</v>
      </c>
      <c r="B3" s="261" t="s">
        <v>8</v>
      </c>
      <c r="C3" s="262"/>
      <c r="D3" s="262"/>
      <c r="E3" s="262"/>
      <c r="F3" s="263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57,220 KRW (0.95%)</v>
      </c>
      <c r="H3" s="265"/>
      <c r="I3" s="266"/>
      <c r="J3" s="4" t="s">
        <v>7</v>
      </c>
      <c r="K3" s="261" t="s">
        <v>9</v>
      </c>
      <c r="L3" s="262"/>
      <c r="M3" s="262"/>
      <c r="N3" s="262"/>
      <c r="O3" s="263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61" t="s">
        <v>12</v>
      </c>
      <c r="C4" s="262"/>
      <c r="D4" s="262"/>
      <c r="E4" s="262"/>
      <c r="F4" s="263"/>
      <c r="G4" s="258" t="s">
        <v>44</v>
      </c>
      <c r="H4" s="259"/>
      <c r="I4" s="260"/>
      <c r="J4" s="4" t="s">
        <v>11</v>
      </c>
      <c r="K4" s="261" t="s">
        <v>13</v>
      </c>
      <c r="L4" s="262"/>
      <c r="M4" s="262"/>
      <c r="N4" s="262"/>
      <c r="O4" s="263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61" t="s">
        <v>16</v>
      </c>
      <c r="C5" s="262"/>
      <c r="D5" s="262"/>
      <c r="E5" s="262"/>
      <c r="F5" s="263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-346,278 KRW (-6.79%)</v>
      </c>
      <c r="H5" s="265"/>
      <c r="I5" s="266"/>
      <c r="J5" s="4" t="s">
        <v>15</v>
      </c>
      <c r="K5" s="261" t="s">
        <v>17</v>
      </c>
      <c r="L5" s="262"/>
      <c r="M5" s="262"/>
      <c r="N5" s="262"/>
      <c r="O5" s="263"/>
    </row>
    <row r="6" spans="1:19">
      <c r="A6" s="117" t="s">
        <v>18</v>
      </c>
      <c r="B6" s="261" t="s">
        <v>19</v>
      </c>
      <c r="C6" s="262"/>
      <c r="D6" s="262"/>
      <c r="E6" s="262"/>
      <c r="F6" s="263"/>
      <c r="G6" s="258" t="s">
        <v>45</v>
      </c>
      <c r="H6" s="259"/>
      <c r="I6" s="260"/>
      <c r="J6" s="4" t="s">
        <v>18</v>
      </c>
      <c r="K6" s="261" t="s">
        <v>20</v>
      </c>
      <c r="L6" s="262"/>
      <c r="M6" s="262"/>
      <c r="N6" s="262"/>
      <c r="O6" s="263"/>
    </row>
    <row r="7" spans="1:19" ht="17.25" thickBot="1">
      <c r="A7" s="117" t="s">
        <v>21</v>
      </c>
      <c r="B7" s="261" t="s">
        <v>22</v>
      </c>
      <c r="C7" s="262"/>
      <c r="D7" s="262"/>
      <c r="E7" s="262"/>
      <c r="F7" s="263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-178,328 KRW (-2.97%)</v>
      </c>
      <c r="H7" s="265"/>
      <c r="I7" s="266"/>
      <c r="J7" s="4" t="s">
        <v>21</v>
      </c>
      <c r="K7" s="261" t="s">
        <v>23</v>
      </c>
      <c r="L7" s="262"/>
      <c r="M7" s="262"/>
      <c r="N7" s="262"/>
      <c r="O7" s="263"/>
    </row>
    <row r="8" spans="1:19" ht="17.25" thickBot="1">
      <c r="A8" s="117" t="s">
        <v>24</v>
      </c>
      <c r="B8" s="261" t="s">
        <v>25</v>
      </c>
      <c r="C8" s="262"/>
      <c r="D8" s="262"/>
      <c r="E8" s="262"/>
      <c r="F8" s="263"/>
      <c r="G8" s="258" t="s">
        <v>285</v>
      </c>
      <c r="H8" s="259"/>
      <c r="I8" s="260"/>
      <c r="J8" s="4" t="s">
        <v>24</v>
      </c>
      <c r="K8" s="261" t="s">
        <v>26</v>
      </c>
      <c r="L8" s="262"/>
      <c r="M8" s="262"/>
      <c r="N8" s="262"/>
      <c r="O8" s="263"/>
      <c r="Q8" s="249" t="s">
        <v>27</v>
      </c>
      <c r="R8" s="251"/>
    </row>
    <row r="9" spans="1:19" ht="17.25" thickBot="1">
      <c r="A9" s="117" t="s">
        <v>28</v>
      </c>
      <c r="B9" s="261"/>
      <c r="C9" s="262"/>
      <c r="D9" s="262"/>
      <c r="E9" s="262"/>
      <c r="F9" s="263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-403,590 KRW (-6.73%)</v>
      </c>
      <c r="H9" s="265"/>
      <c r="I9" s="266"/>
      <c r="J9" s="4" t="s">
        <v>28</v>
      </c>
      <c r="K9" s="261" t="s">
        <v>293</v>
      </c>
      <c r="L9" s="262"/>
      <c r="M9" s="262"/>
      <c r="N9" s="262"/>
      <c r="O9" s="263"/>
      <c r="Q9" s="2" t="s">
        <v>29</v>
      </c>
      <c r="R9" s="6">
        <v>10</v>
      </c>
    </row>
    <row r="10" spans="1:19">
      <c r="A10" s="117" t="s">
        <v>30</v>
      </c>
      <c r="B10" s="261"/>
      <c r="C10" s="262"/>
      <c r="D10" s="262"/>
      <c r="E10" s="262"/>
      <c r="F10" s="263"/>
      <c r="G10" s="258" t="s">
        <v>47</v>
      </c>
      <c r="H10" s="259"/>
      <c r="I10" s="260"/>
      <c r="J10" s="4" t="s">
        <v>30</v>
      </c>
      <c r="K10" s="261"/>
      <c r="L10" s="262"/>
      <c r="M10" s="262"/>
      <c r="N10" s="262"/>
      <c r="O10" s="263"/>
      <c r="Q10" s="2" t="s">
        <v>31</v>
      </c>
      <c r="R10" s="6">
        <v>100</v>
      </c>
    </row>
    <row r="11" spans="1:19" ht="17.25" thickBot="1">
      <c r="A11" s="118" t="s">
        <v>32</v>
      </c>
      <c r="B11" s="267"/>
      <c r="C11" s="268"/>
      <c r="D11" s="268"/>
      <c r="E11" s="268"/>
      <c r="F11" s="269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-101,514 KRW (-6.77%)</v>
      </c>
      <c r="H11" s="265"/>
      <c r="I11" s="266"/>
      <c r="J11" s="7" t="s">
        <v>32</v>
      </c>
      <c r="K11" s="267"/>
      <c r="L11" s="268"/>
      <c r="M11" s="268"/>
      <c r="N11" s="268"/>
      <c r="O11" s="269"/>
      <c r="Q11" s="61" t="s">
        <v>33</v>
      </c>
      <c r="R11" s="8">
        <v>1000</v>
      </c>
    </row>
    <row r="12" spans="1:19" ht="17.25" thickBot="1"/>
    <row r="13" spans="1:19" ht="17.25" customHeight="1" thickBot="1">
      <c r="A13" s="249" t="s">
        <v>34</v>
      </c>
      <c r="B13" s="250"/>
      <c r="C13" s="250"/>
      <c r="D13" s="250"/>
      <c r="E13" s="250"/>
      <c r="F13" s="250"/>
      <c r="G13" s="250"/>
      <c r="H13" s="250"/>
      <c r="I13" s="250"/>
      <c r="J13" s="250"/>
      <c r="K13" s="250"/>
      <c r="L13" s="250"/>
      <c r="M13" s="250"/>
      <c r="N13" s="250"/>
      <c r="O13" s="251"/>
      <c r="Q13" s="270"/>
      <c r="R13" s="270"/>
      <c r="S13" s="270"/>
    </row>
    <row r="14" spans="1:19" ht="17.25" customHeight="1" thickBot="1">
      <c r="A14" s="112" t="s">
        <v>35</v>
      </c>
      <c r="B14" s="249" t="s">
        <v>36</v>
      </c>
      <c r="C14" s="251"/>
      <c r="D14" s="249" t="s">
        <v>37</v>
      </c>
      <c r="E14" s="250"/>
      <c r="F14" s="251"/>
      <c r="G14" s="276">
        <f>_xlfn.IFNA(VLOOKUP(B14, 현재가테이블!$B$2:$D$200, 2, FALSE), "-")</f>
        <v>60874000</v>
      </c>
      <c r="H14" s="277"/>
      <c r="I14" s="278"/>
      <c r="J14" s="249" t="s">
        <v>38</v>
      </c>
      <c r="K14" s="250"/>
      <c r="L14" s="251"/>
      <c r="M14" s="279">
        <f>_xlfn.IFNA(VLOOKUP(B14, 현재가테이블!$B$2:$D$200, 3, FALSE), "-")</f>
        <v>-1.4936000099999999E-2</v>
      </c>
      <c r="N14" s="280"/>
      <c r="O14" s="281"/>
      <c r="Q14" s="270"/>
      <c r="R14" s="270"/>
      <c r="S14" s="270"/>
    </row>
    <row r="15" spans="1:19" ht="17.25" customHeight="1" thickBot="1">
      <c r="A15" s="314" t="s">
        <v>39</v>
      </c>
      <c r="B15" s="315" t="str">
        <f>TEXT($G$1, "[$-ko-KR]yyyy-mm-dd(ddd) ") &amp; "오전 00:00"</f>
        <v>2021-05-04(화) 오전 00:00</v>
      </c>
      <c r="C15" s="316"/>
      <c r="D15" s="272" t="str">
        <f>TEXT($G$1, "[$-ko-KR]yyyy-mm-dd(ddd) ") &amp; "오후 14:00"</f>
        <v>2021-05-04(화) 오후 14:00</v>
      </c>
      <c r="E15" s="273"/>
      <c r="F15" s="274"/>
      <c r="G15" s="272" t="str">
        <f>TEXT($G$1, "[$-ko-KR]yyyy-mm-dd(ddd) ") &amp; "오후 19:00"</f>
        <v>2021-05-04(화) 오후 19:00</v>
      </c>
      <c r="H15" s="273"/>
      <c r="I15" s="274"/>
      <c r="J15" s="272" t="str">
        <f>TEXT($G$1, "[$-ko-KR]yyyy-mm-dd(ddd) ") &amp; "오후 21:00"</f>
        <v>2021-05-04(화) 오후 21:00</v>
      </c>
      <c r="K15" s="273"/>
      <c r="L15" s="274"/>
      <c r="M15" s="272" t="str">
        <f>TEXT($G$1+1, "[$-ko-KR]yyyy-mm-dd(ddd) ") &amp; "오전 00:00"</f>
        <v>2021-05-05(수) 오전 00:00</v>
      </c>
      <c r="N15" s="273"/>
      <c r="O15" s="274"/>
      <c r="Q15" s="270"/>
      <c r="R15" s="270"/>
      <c r="S15" s="270"/>
    </row>
    <row r="16" spans="1:19" ht="17.25" customHeight="1" thickBot="1">
      <c r="A16" s="314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13" t="s">
        <v>37</v>
      </c>
      <c r="H16" s="114" t="s">
        <v>40</v>
      </c>
      <c r="I16" s="115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75"/>
      <c r="R16" s="275"/>
      <c r="S16" s="275"/>
    </row>
    <row r="17" spans="1:19" ht="17.25" customHeight="1" thickBot="1">
      <c r="A17" s="122" t="s">
        <v>303</v>
      </c>
      <c r="B17" s="123">
        <f>IF(NOT(ISBLANK(_xlfn.IFNA(VLOOKUP($A17, $A$40:$O$199, 2, FALSE), ))), _xlfn.IFNA(VLOOKUP($A17, $A$40:$O$199, 2, FALSE), ), "")</f>
        <v>162</v>
      </c>
      <c r="C17" s="72">
        <f>IF(NOT(ISBLANK(_xlfn.IFNA(VLOOKUP($A17, $A$40:$O$199, 3, FALSE), ))), _xlfn.IFNA(VLOOKUP($A17, $A$40:$O$199, 3, FALSE), ), "")</f>
        <v>6.2111800999999998E-3</v>
      </c>
      <c r="D17" s="13">
        <f>IF(NOT(ISBLANK(_xlfn.IFNA(VLOOKUP($A17, $A$40:$O$199, 4, FALSE), ))), _xlfn.IFNA(VLOOKUP($A17, $A$40:$O$199, 4, FALSE), ), "")</f>
        <v>158</v>
      </c>
      <c r="E17" s="14">
        <f>IF(NOT(ISBLANK(_xlfn.IFNA(VLOOKUP($A17, $A$40:$O$199, 5, FALSE), ))), _xlfn.IFNA(VLOOKUP($A17, $A$40:$O$199, 5, FALSE), ), "")</f>
        <v>-2.4691358024691357E-2</v>
      </c>
      <c r="F17" s="16">
        <f>IF(NOT(ISBLANK(_xlfn.IFNA(VLOOKUP($A17, $A$40:$O$199, 6, FALSE), ))), _xlfn.IFNA(VLOOKUP($A17, $A$40:$O$199, 6, FALSE), ), "")</f>
        <v>-7407.4074074074069</v>
      </c>
      <c r="G17" s="29">
        <f>IF(NOT(ISBLANK(_xlfn.IFNA(VLOOKUP($A17, $A$40:$O$199, 7, FALSE), ))), _xlfn.IFNA(VLOOKUP($A17, $A$40:$O$199, 7, FALSE), ), "")</f>
        <v>158</v>
      </c>
      <c r="H17" s="14">
        <f>IF(NOT(ISBLANK(_xlfn.IFNA(VLOOKUP($A17, $A$40:$O$199, 8, FALSE), ))), _xlfn.IFNA(VLOOKUP($A17, $A$40:$O$199, 8, FALSE), ), "")</f>
        <v>-2.4691358024691357E-2</v>
      </c>
      <c r="I17" s="96">
        <f>IF(NOT(ISBLANK(_xlfn.IFNA(VLOOKUP($A17, $A$40:$O$199, 9, FALSE), ))), _xlfn.IFNA(VLOOKUP($A17, $A$40:$O$199, 9, FALSE), ), "")</f>
        <v>-7407.4074074074069</v>
      </c>
      <c r="J17" s="13">
        <f>IF(NOT(ISBLANK(_xlfn.IFNA(VLOOKUP($A17, $A$40:$O$199, 10, FALSE), ))), _xlfn.IFNA(VLOOKUP($A17, $A$40:$O$199, 10, FALSE), ), "")</f>
        <v>157</v>
      </c>
      <c r="K17" s="14">
        <f>IF(NOT(ISBLANK(_xlfn.IFNA(VLOOKUP($A17, $A$40:$O$199, 11, FALSE), ))), _xlfn.IFNA(VLOOKUP($A17, $A$40:$O$199, 11, FALSE), ), "")</f>
        <v>-3.0864197530864196E-2</v>
      </c>
      <c r="L17" s="16">
        <f>IF(NOT(ISBLANK(_xlfn.IFNA(VLOOKUP($A17, $A$40:$O$199, 12, FALSE), ))), _xlfn.IFNA(VLOOKUP($A17, $A$40:$O$199, 12, FALSE), ), "")</f>
        <v>-9259.2592592592591</v>
      </c>
      <c r="M17" s="29">
        <f>IF(NOT(ISBLANK(_xlfn.IFNA(VLOOKUP($A17, $A$40:$O$199, 13, FALSE), ))), _xlfn.IFNA(VLOOKUP($A17, $A$40:$O$199, 13, FALSE), ), "")</f>
        <v>153</v>
      </c>
      <c r="N17" s="14">
        <f>IF(NOT(ISBLANK(_xlfn.IFNA(VLOOKUP($A17, $A$40:$O$199, 14, FALSE), ))), _xlfn.IFNA(VLOOKUP($A17, $A$40:$O$199, 14, FALSE), ), "")</f>
        <v>-5.5555555555555552E-2</v>
      </c>
      <c r="O17" s="16">
        <f>IF(NOT(ISBLANK(_xlfn.IFNA(VLOOKUP($A17, $A$40:$O$199, 15, FALSE), ))), _xlfn.IFNA(VLOOKUP($A17, $A$40:$O$199, 15, FALSE), ), "")</f>
        <v>-16666.666666666664</v>
      </c>
      <c r="Q17" s="270"/>
      <c r="R17" s="270"/>
      <c r="S17" s="270"/>
    </row>
    <row r="18" spans="1:19" ht="17.25" customHeight="1" thickBot="1">
      <c r="A18" s="124" t="s">
        <v>304</v>
      </c>
      <c r="B18" s="125">
        <f t="shared" ref="B18:B36" si="0">IF(NOT(ISBLANK(_xlfn.IFNA(VLOOKUP($A18, $A$40:$O$199, 2, FALSE), ))), _xlfn.IFNA(VLOOKUP($A18, $A$40:$O$199, 2, FALSE), ), "")</f>
        <v>492</v>
      </c>
      <c r="C18" s="73">
        <f t="shared" ref="C18:C36" si="1">IF(NOT(ISBLANK(_xlfn.IFNA(VLOOKUP($A18, $A$40:$O$199, 3, FALSE), ))), _xlfn.IFNA(VLOOKUP($A18, $A$40:$O$199, 3, FALSE), ), "")</f>
        <v>6.1349693000000002E-3</v>
      </c>
      <c r="D18" s="15">
        <f t="shared" ref="D18:D36" si="2">IF(NOT(ISBLANK(_xlfn.IFNA(VLOOKUP($A18, $A$40:$O$199, 4, FALSE), ))), _xlfn.IFNA(VLOOKUP($A18, $A$40:$O$199, 4, FALSE), ), "")</f>
        <v>473</v>
      </c>
      <c r="E18" s="32">
        <f t="shared" ref="E18:E36" si="3">IF(NOT(ISBLANK(_xlfn.IFNA(VLOOKUP($A18, $A$40:$O$199, 5, FALSE), ))), _xlfn.IFNA(VLOOKUP($A18, $A$40:$O$199, 5, FALSE), ), "")</f>
        <v>-3.8617886178861791E-2</v>
      </c>
      <c r="F18" s="18">
        <f t="shared" ref="F18:F36" si="4">IF(NOT(ISBLANK(_xlfn.IFNA(VLOOKUP($A18, $A$40:$O$199, 6, FALSE), ))), _xlfn.IFNA(VLOOKUP($A18, $A$40:$O$199, 6, FALSE), ), "")</f>
        <v>-11585.365853658537</v>
      </c>
      <c r="G18" s="31">
        <f t="shared" ref="G18:G36" si="5">IF(NOT(ISBLANK(_xlfn.IFNA(VLOOKUP($A18, $A$40:$O$199, 7, FALSE), ))), _xlfn.IFNA(VLOOKUP($A18, $A$40:$O$199, 7, FALSE), ), "")</f>
        <v>476</v>
      </c>
      <c r="H18" s="32">
        <f t="shared" ref="H18:H36" si="6">IF(NOT(ISBLANK(_xlfn.IFNA(VLOOKUP($A18, $A$40:$O$199, 8, FALSE), ))), _xlfn.IFNA(VLOOKUP($A18, $A$40:$O$199, 8, FALSE), ), "")</f>
        <v>-3.2520325203252036E-2</v>
      </c>
      <c r="I18" s="97">
        <f t="shared" ref="I18:I36" si="7">IF(NOT(ISBLANK(_xlfn.IFNA(VLOOKUP($A18, $A$40:$O$199, 9, FALSE), ))), _xlfn.IFNA(VLOOKUP($A18, $A$40:$O$199, 9, FALSE), ), "")</f>
        <v>-9756.0975609756115</v>
      </c>
      <c r="J18" s="15">
        <f t="shared" ref="J18:J36" si="8">IF(NOT(ISBLANK(_xlfn.IFNA(VLOOKUP($A18, $A$40:$O$199, 10, FALSE), ))), _xlfn.IFNA(VLOOKUP($A18, $A$40:$O$199, 10, FALSE), ), "")</f>
        <v>473</v>
      </c>
      <c r="K18" s="32">
        <f t="shared" ref="K18:K36" si="9">IF(NOT(ISBLANK(_xlfn.IFNA(VLOOKUP($A18, $A$40:$O$199, 11, FALSE), ))), _xlfn.IFNA(VLOOKUP($A18, $A$40:$O$199, 11, FALSE), ), "")</f>
        <v>-3.8617886178861791E-2</v>
      </c>
      <c r="L18" s="18">
        <f t="shared" ref="L18:L36" si="10">IF(NOT(ISBLANK(_xlfn.IFNA(VLOOKUP($A18, $A$40:$O$199, 12, FALSE), ))), _xlfn.IFNA(VLOOKUP($A18, $A$40:$O$199, 12, FALSE), ), "")</f>
        <v>-11585.365853658537</v>
      </c>
      <c r="M18" s="31">
        <f t="shared" ref="M18:M36" si="11">IF(NOT(ISBLANK(_xlfn.IFNA(VLOOKUP($A18, $A$40:$O$199, 13, FALSE), ))), _xlfn.IFNA(VLOOKUP($A18, $A$40:$O$199, 13, FALSE), ), "")</f>
        <v>457</v>
      </c>
      <c r="N18" s="32">
        <f t="shared" ref="N18:N36" si="12">IF(NOT(ISBLANK(_xlfn.IFNA(VLOOKUP($A18, $A$40:$O$199, 14, FALSE), ))), _xlfn.IFNA(VLOOKUP($A18, $A$40:$O$199, 14, FALSE), ), "")</f>
        <v>-7.113821138211382E-2</v>
      </c>
      <c r="O18" s="18">
        <f t="shared" ref="O18:O36" si="13">IF(NOT(ISBLANK(_xlfn.IFNA(VLOOKUP($A18, $A$40:$O$199, 15, FALSE), ))), _xlfn.IFNA(VLOOKUP($A18, $A$40:$O$199, 15, FALSE), ), "")</f>
        <v>-21341.463414634145</v>
      </c>
      <c r="Q18" s="270"/>
      <c r="R18" s="270"/>
      <c r="S18" s="270"/>
    </row>
    <row r="19" spans="1:19" ht="17.25" customHeight="1" thickBot="1">
      <c r="A19" s="124" t="s">
        <v>305</v>
      </c>
      <c r="B19" s="125">
        <f t="shared" si="0"/>
        <v>400</v>
      </c>
      <c r="C19" s="73">
        <f t="shared" si="1"/>
        <v>5.0251256000000003E-3</v>
      </c>
      <c r="D19" s="15">
        <f t="shared" si="2"/>
        <v>384</v>
      </c>
      <c r="E19" s="32">
        <f t="shared" si="3"/>
        <v>-0.04</v>
      </c>
      <c r="F19" s="18">
        <f t="shared" si="4"/>
        <v>-12000</v>
      </c>
      <c r="G19" s="31">
        <f t="shared" si="5"/>
        <v>384</v>
      </c>
      <c r="H19" s="32">
        <f t="shared" si="6"/>
        <v>-0.04</v>
      </c>
      <c r="I19" s="97">
        <f t="shared" si="7"/>
        <v>-12000</v>
      </c>
      <c r="J19" s="15">
        <f t="shared" si="8"/>
        <v>380</v>
      </c>
      <c r="K19" s="32">
        <f t="shared" si="9"/>
        <v>-0.05</v>
      </c>
      <c r="L19" s="18">
        <f t="shared" si="10"/>
        <v>-15000</v>
      </c>
      <c r="M19" s="31">
        <f t="shared" si="11"/>
        <v>364</v>
      </c>
      <c r="N19" s="32">
        <f t="shared" si="12"/>
        <v>-0.09</v>
      </c>
      <c r="O19" s="18">
        <f t="shared" si="13"/>
        <v>-27000</v>
      </c>
      <c r="Q19" s="275"/>
      <c r="R19" s="275"/>
      <c r="S19" s="275"/>
    </row>
    <row r="20" spans="1:19" ht="17.25" customHeight="1" thickBot="1">
      <c r="A20" s="124" t="s">
        <v>306</v>
      </c>
      <c r="B20" s="125">
        <f t="shared" si="0"/>
        <v>443</v>
      </c>
      <c r="C20" s="73">
        <f t="shared" si="1"/>
        <v>-2.2522522999999998E-3</v>
      </c>
      <c r="D20" s="15">
        <f t="shared" si="2"/>
        <v>428</v>
      </c>
      <c r="E20" s="32">
        <f t="shared" si="3"/>
        <v>-3.3860045146726865E-2</v>
      </c>
      <c r="F20" s="18">
        <f t="shared" si="4"/>
        <v>-10158.01354401806</v>
      </c>
      <c r="G20" s="31">
        <f t="shared" si="5"/>
        <v>434</v>
      </c>
      <c r="H20" s="32">
        <f t="shared" si="6"/>
        <v>-2.0316027088036117E-2</v>
      </c>
      <c r="I20" s="97">
        <f t="shared" si="7"/>
        <v>-6094.808126410835</v>
      </c>
      <c r="J20" s="15">
        <f t="shared" si="8"/>
        <v>432</v>
      </c>
      <c r="K20" s="32">
        <f t="shared" si="9"/>
        <v>-2.4830699774266364E-2</v>
      </c>
      <c r="L20" s="18">
        <f t="shared" si="10"/>
        <v>-7449.2099322799095</v>
      </c>
      <c r="M20" s="31">
        <f t="shared" si="11"/>
        <v>420</v>
      </c>
      <c r="N20" s="32">
        <f t="shared" si="12"/>
        <v>-5.1918735891647853E-2</v>
      </c>
      <c r="O20" s="18">
        <f t="shared" si="13"/>
        <v>-15575.620767494356</v>
      </c>
      <c r="Q20" s="275"/>
      <c r="R20" s="275"/>
      <c r="S20" s="275"/>
    </row>
    <row r="21" spans="1:19" ht="17.25" customHeight="1" thickBot="1">
      <c r="A21" s="126" t="s">
        <v>307</v>
      </c>
      <c r="B21" s="127">
        <f t="shared" si="0"/>
        <v>258</v>
      </c>
      <c r="C21" s="74">
        <f t="shared" si="1"/>
        <v>-7.6923076999999996E-3</v>
      </c>
      <c r="D21" s="20">
        <f t="shared" si="2"/>
        <v>248</v>
      </c>
      <c r="E21" s="21">
        <f t="shared" si="3"/>
        <v>-3.875968992248062E-2</v>
      </c>
      <c r="F21" s="22">
        <f t="shared" si="4"/>
        <v>-11627.906976744185</v>
      </c>
      <c r="G21" s="30">
        <f t="shared" si="5"/>
        <v>251</v>
      </c>
      <c r="H21" s="21">
        <f t="shared" si="6"/>
        <v>-2.7131782945736434E-2</v>
      </c>
      <c r="I21" s="101">
        <f t="shared" si="7"/>
        <v>-8139.5348837209303</v>
      </c>
      <c r="J21" s="20">
        <f t="shared" si="8"/>
        <v>247</v>
      </c>
      <c r="K21" s="21">
        <f t="shared" si="9"/>
        <v>-4.2635658914728682E-2</v>
      </c>
      <c r="L21" s="22">
        <f t="shared" si="10"/>
        <v>-12790.697674418605</v>
      </c>
      <c r="M21" s="30">
        <f t="shared" si="11"/>
        <v>240</v>
      </c>
      <c r="N21" s="21">
        <f t="shared" si="12"/>
        <v>-6.9767441860465115E-2</v>
      </c>
      <c r="O21" s="22">
        <f t="shared" si="13"/>
        <v>-20930.232558139534</v>
      </c>
      <c r="Q21" s="275"/>
      <c r="R21" s="275"/>
      <c r="S21" s="275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75"/>
      <c r="R22" s="275"/>
      <c r="S22" s="275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5"/>
      <c r="R23" s="275"/>
      <c r="S23" s="275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5"/>
      <c r="R24" s="275"/>
      <c r="S24" s="275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84"/>
      <c r="R26" s="285"/>
      <c r="S26" s="286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7"/>
      <c r="R27" s="288"/>
      <c r="S27" s="289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0"/>
      <c r="R28" s="291"/>
      <c r="S28" s="292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5"/>
      <c r="R29" s="275"/>
      <c r="S29" s="275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0"/>
      <c r="R30" s="270"/>
      <c r="S30" s="270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0"/>
      <c r="R31" s="270"/>
      <c r="S31" s="270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75"/>
      <c r="R32" s="275"/>
      <c r="S32" s="275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5"/>
      <c r="R33" s="275"/>
      <c r="S33" s="275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5"/>
      <c r="R34" s="275"/>
      <c r="S34" s="275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7"/>
      <c r="R35" s="298"/>
      <c r="S35" s="299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00"/>
      <c r="R36" s="301"/>
      <c r="S36" s="302"/>
    </row>
    <row r="37" spans="1:19" ht="17.25" customHeight="1" thickBot="1">
      <c r="A37" s="131" t="s">
        <v>42</v>
      </c>
      <c r="B37" s="308">
        <v>300000</v>
      </c>
      <c r="C37" s="309"/>
      <c r="D37" s="26" t="s">
        <v>43</v>
      </c>
      <c r="E37" s="27">
        <f>IF(COUNT(E17:E26), SUM(E17:E26) / COUNT(E17:E26), 0)</f>
        <v>-3.5185795854552129E-2</v>
      </c>
      <c r="F37" s="28">
        <f>SUM(F17:F26)</f>
        <v>-52778.693781828188</v>
      </c>
      <c r="G37" s="26" t="s">
        <v>43</v>
      </c>
      <c r="H37" s="27">
        <f>IF(COUNT(H17:H26), SUM(H17:H26) / COUNT(H17:H26), 0)</f>
        <v>-2.8931898652343191E-2</v>
      </c>
      <c r="I37" s="28">
        <f>SUM(I17:I26)</f>
        <v>-43397.847978514787</v>
      </c>
      <c r="J37" s="26" t="s">
        <v>43</v>
      </c>
      <c r="K37" s="27">
        <f>IF(COUNT(K17:K26), SUM(K17:K26) / COUNT(K17:K26), 0)</f>
        <v>-3.7389688479744207E-2</v>
      </c>
      <c r="L37" s="28">
        <f>SUM(L17:L26)</f>
        <v>-56084.532719616313</v>
      </c>
      <c r="M37" s="26" t="s">
        <v>43</v>
      </c>
      <c r="N37" s="27">
        <f>IF(COUNT(N17:N26), SUM(N17:N26) / COUNT(N17:N26), 0)</f>
        <v>-6.7675988937956469E-2</v>
      </c>
      <c r="O37" s="28">
        <f>SUM(O17:O26)</f>
        <v>-101513.98340693471</v>
      </c>
      <c r="Q37" s="303"/>
      <c r="R37" s="304"/>
      <c r="S37" s="305"/>
    </row>
    <row r="38" spans="1:19" ht="17.25" customHeight="1"/>
    <row r="39" spans="1:19" ht="17.25" customHeight="1" thickBot="1"/>
    <row r="40" spans="1:19" ht="17.25" customHeight="1" thickBot="1">
      <c r="A40" s="249" t="s">
        <v>44</v>
      </c>
      <c r="B40" s="250"/>
      <c r="C40" s="250"/>
      <c r="D40" s="250"/>
      <c r="E40" s="250"/>
      <c r="F40" s="250"/>
      <c r="G40" s="250"/>
      <c r="H40" s="250"/>
      <c r="I40" s="250"/>
      <c r="J40" s="250"/>
      <c r="K40" s="250"/>
      <c r="L40" s="250"/>
      <c r="M40" s="250"/>
      <c r="N40" s="250"/>
      <c r="O40" s="251"/>
      <c r="Q40" s="270"/>
      <c r="R40" s="270"/>
      <c r="S40" s="270"/>
    </row>
    <row r="41" spans="1:19" ht="17.25" customHeight="1" thickBot="1">
      <c r="A41" s="112" t="s">
        <v>298</v>
      </c>
      <c r="B41" s="249" t="s">
        <v>49</v>
      </c>
      <c r="C41" s="251"/>
      <c r="D41" s="249" t="s">
        <v>58</v>
      </c>
      <c r="E41" s="250"/>
      <c r="F41" s="251"/>
      <c r="G41" s="276">
        <f>_xlfn.IFNA(VLOOKUP(B41, 현재가테이블!$B$2:$D$200, 2, FALSE), "-")</f>
        <v>60874000</v>
      </c>
      <c r="H41" s="277"/>
      <c r="I41" s="278"/>
      <c r="J41" s="249" t="s">
        <v>59</v>
      </c>
      <c r="K41" s="250"/>
      <c r="L41" s="251"/>
      <c r="M41" s="279">
        <f>_xlfn.IFNA(VLOOKUP(B41, 현재가테이블!$B$2:$D$200, 3, FALSE), "-")</f>
        <v>-1.4936000099999999E-2</v>
      </c>
      <c r="N41" s="280"/>
      <c r="O41" s="281"/>
      <c r="Q41" s="270"/>
      <c r="R41" s="270"/>
      <c r="S41" s="270"/>
    </row>
    <row r="42" spans="1:19" ht="17.25" customHeight="1" thickBot="1">
      <c r="A42" s="310" t="s">
        <v>55</v>
      </c>
      <c r="B42" s="312" t="str">
        <f>TEXT($G$1, "[$-ko-KR]yyyy-mm-dd(ddd) ") &amp; "오전 00:00"</f>
        <v>2021-05-04(화) 오전 00:00</v>
      </c>
      <c r="C42" s="313"/>
      <c r="D42" s="272" t="str">
        <f>TEXT($G$1, "[$-ko-KR]yyyy-mm-dd(ddd) ") &amp; "오후 14:00"</f>
        <v>2021-05-04(화) 오후 14:00</v>
      </c>
      <c r="E42" s="273"/>
      <c r="F42" s="274"/>
      <c r="G42" s="272" t="str">
        <f>TEXT($G$1, "[$-ko-KR]yyyy-mm-dd(ddd) ") &amp; "오후 19:00"</f>
        <v>2021-05-04(화) 오후 19:00</v>
      </c>
      <c r="H42" s="273"/>
      <c r="I42" s="274"/>
      <c r="J42" s="272" t="str">
        <f>TEXT($G$1, "[$-ko-KR]yyyy-mm-dd(ddd) ") &amp; "오후 21:00"</f>
        <v>2021-05-04(화) 오후 21:00</v>
      </c>
      <c r="K42" s="273"/>
      <c r="L42" s="274"/>
      <c r="M42" s="272" t="str">
        <f>TEXT($G$1+1, "[$-ko-KR]yyyy-mm-dd(ddd) ") &amp; "오전 00:00"</f>
        <v>2021-05-05(수) 오전 00:00</v>
      </c>
      <c r="N42" s="273"/>
      <c r="O42" s="274"/>
      <c r="Q42" s="270"/>
      <c r="R42" s="270"/>
      <c r="S42" s="270"/>
    </row>
    <row r="43" spans="1:19" ht="17.25" customHeight="1" thickBot="1">
      <c r="A43" s="311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13" t="s">
        <v>58</v>
      </c>
      <c r="H43" s="114" t="s">
        <v>299</v>
      </c>
      <c r="I43" s="115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75"/>
      <c r="R43" s="275"/>
      <c r="S43" s="275"/>
    </row>
    <row r="44" spans="1:19" ht="17.25" customHeight="1" thickBot="1">
      <c r="A44" s="122" t="s">
        <v>220</v>
      </c>
      <c r="B44" s="123">
        <v>23.9</v>
      </c>
      <c r="C44" s="72">
        <v>5.75221239E-2</v>
      </c>
      <c r="D44" s="13">
        <v>23.8</v>
      </c>
      <c r="E44" s="14">
        <f>IF(ISNUMBER(D44), (D44 - $B44) / $B44, "")</f>
        <v>-4.184100418409953E-3</v>
      </c>
      <c r="F44" s="16">
        <f>IF(ISNUMBER(D44), $B64 * E44, "")</f>
        <v>-1255.2301255229859</v>
      </c>
      <c r="G44" s="29">
        <v>24.3</v>
      </c>
      <c r="H44" s="14">
        <f>IF(ISNUMBER(G44), (G44 - $B44) / $B44, "")</f>
        <v>1.6736401673640256E-2</v>
      </c>
      <c r="I44" s="96">
        <f>IF(ISNUMBER(G44), $B64 * H44, "")</f>
        <v>5020.9205020920772</v>
      </c>
      <c r="J44" s="13">
        <v>24.5</v>
      </c>
      <c r="K44" s="14">
        <f>IF(ISNUMBER(J44), (J44 - $B44) / $B44, "")</f>
        <v>2.5104602510460313E-2</v>
      </c>
      <c r="L44" s="16">
        <f>IF(ISNUMBER(J44), $B64 * K44, "")</f>
        <v>7531.3807531380935</v>
      </c>
      <c r="M44" s="29">
        <v>23.5</v>
      </c>
      <c r="N44" s="14">
        <f>IF(ISNUMBER(M44), (M44 - $B44) / $B44, "")</f>
        <v>-1.673640167364011E-2</v>
      </c>
      <c r="O44" s="16">
        <f>IF(ISNUMBER(M44), $B64 * N44, "")</f>
        <v>-5020.9205020920335</v>
      </c>
      <c r="Q44" s="270"/>
      <c r="R44" s="270"/>
      <c r="S44" s="270"/>
    </row>
    <row r="45" spans="1:19" ht="17.25" customHeight="1" thickBot="1">
      <c r="A45" s="124" t="s">
        <v>154</v>
      </c>
      <c r="B45" s="125">
        <v>24</v>
      </c>
      <c r="C45" s="73">
        <v>5.2631578900000003E-2</v>
      </c>
      <c r="D45" s="15">
        <v>24.2</v>
      </c>
      <c r="E45" s="32">
        <f t="shared" ref="E45:E48" si="14">IF(ISNUMBER(D45), (D45 - $B45) / $B45, "")</f>
        <v>8.3333333333333037E-3</v>
      </c>
      <c r="F45" s="18">
        <f>IF(ISNUMBER(D45), $B64 * E45, "")</f>
        <v>2499.9999999999909</v>
      </c>
      <c r="G45" s="31">
        <v>23.9</v>
      </c>
      <c r="H45" s="32">
        <f t="shared" ref="H45:H48" si="15">IF(ISNUMBER(G45), (G45 - $B45) / $B45, "")</f>
        <v>-4.1666666666667256E-3</v>
      </c>
      <c r="I45" s="97">
        <f>IF(ISNUMBER(G45), $B64 * H45, "")</f>
        <v>-1250.0000000000177</v>
      </c>
      <c r="J45" s="15">
        <v>24.5</v>
      </c>
      <c r="K45" s="32">
        <f t="shared" ref="K45:K48" si="16">IF(ISNUMBER(J45), (J45 - $B45) / $B45, "")</f>
        <v>2.0833333333333332E-2</v>
      </c>
      <c r="L45" s="18">
        <f>IF(ISNUMBER(J45), $B64 * K45, "")</f>
        <v>6250</v>
      </c>
      <c r="M45" s="31">
        <v>22.9</v>
      </c>
      <c r="N45" s="32">
        <f t="shared" ref="N45:N48" si="17">IF(ISNUMBER(M45), (M45 - $B45) / $B45, "")</f>
        <v>-4.5833333333333393E-2</v>
      </c>
      <c r="O45" s="18">
        <f>IF(ISNUMBER(M45), $B64 * N45, "")</f>
        <v>-13750.000000000018</v>
      </c>
      <c r="Q45" s="270"/>
      <c r="R45" s="270"/>
      <c r="S45" s="270"/>
    </row>
    <row r="46" spans="1:19" ht="17.25" customHeight="1" thickBot="1">
      <c r="A46" s="124" t="s">
        <v>65</v>
      </c>
      <c r="B46" s="125">
        <v>80</v>
      </c>
      <c r="C46" s="73">
        <v>4.98687664E-2</v>
      </c>
      <c r="D46" s="15">
        <v>76.7</v>
      </c>
      <c r="E46" s="32">
        <f t="shared" si="14"/>
        <v>-4.1249999999999967E-2</v>
      </c>
      <c r="F46" s="18">
        <f>IF(ISNUMBER(D46), $B64 * E46, "")</f>
        <v>-12374.999999999991</v>
      </c>
      <c r="G46" s="31">
        <v>77</v>
      </c>
      <c r="H46" s="32">
        <f t="shared" si="15"/>
        <v>-3.7499999999999999E-2</v>
      </c>
      <c r="I46" s="97">
        <f>IF(ISNUMBER(G46), $B64 * H46, "")</f>
        <v>-11250</v>
      </c>
      <c r="J46" s="15">
        <v>76.400000000000006</v>
      </c>
      <c r="K46" s="32">
        <f t="shared" si="16"/>
        <v>-4.4999999999999929E-2</v>
      </c>
      <c r="L46" s="18">
        <f>IF(ISNUMBER(J46), $B64 * K46, "")</f>
        <v>-13499.999999999978</v>
      </c>
      <c r="M46" s="31">
        <v>73.400000000000006</v>
      </c>
      <c r="N46" s="32">
        <f t="shared" si="17"/>
        <v>-8.2499999999999934E-2</v>
      </c>
      <c r="O46" s="18">
        <f>IF(ISNUMBER(M46), $B64 * N46, "")</f>
        <v>-24749.999999999982</v>
      </c>
      <c r="Q46" s="275"/>
      <c r="R46" s="275"/>
      <c r="S46" s="275"/>
    </row>
    <row r="47" spans="1:19" ht="17.25" customHeight="1" thickBot="1">
      <c r="A47" s="124" t="s">
        <v>186</v>
      </c>
      <c r="B47" s="125">
        <v>29.3</v>
      </c>
      <c r="C47" s="73">
        <v>3.9007092200000003E-2</v>
      </c>
      <c r="D47" s="15">
        <v>28.1</v>
      </c>
      <c r="E47" s="32">
        <f t="shared" si="14"/>
        <v>-4.0955631399317384E-2</v>
      </c>
      <c r="F47" s="18">
        <f>IF(ISNUMBER(D47), $B64 * E47, "")</f>
        <v>-12286.689419795215</v>
      </c>
      <c r="G47" s="31">
        <v>28.2</v>
      </c>
      <c r="H47" s="32">
        <f t="shared" si="15"/>
        <v>-3.7542662116041001E-2</v>
      </c>
      <c r="I47" s="97">
        <f>IF(ISNUMBER(G47), $B64 * H47, "")</f>
        <v>-11262.798634812299</v>
      </c>
      <c r="J47" s="15">
        <v>28.2</v>
      </c>
      <c r="K47" s="32">
        <f t="shared" si="16"/>
        <v>-3.7542662116041001E-2</v>
      </c>
      <c r="L47" s="18">
        <f>IF(ISNUMBER(J47), $B64 * K47, "")</f>
        <v>-11262.798634812299</v>
      </c>
      <c r="M47" s="31">
        <v>27.1</v>
      </c>
      <c r="N47" s="32">
        <f t="shared" si="17"/>
        <v>-7.508532423208189E-2</v>
      </c>
      <c r="O47" s="18">
        <f>IF(ISNUMBER(M47), $B64 * N47, "")</f>
        <v>-22525.597269624566</v>
      </c>
      <c r="Q47" s="275"/>
      <c r="R47" s="275"/>
      <c r="S47" s="275"/>
    </row>
    <row r="48" spans="1:19" ht="17.25" customHeight="1" thickBot="1">
      <c r="A48" s="126" t="s">
        <v>72</v>
      </c>
      <c r="B48" s="127">
        <v>38.299999999999997</v>
      </c>
      <c r="C48" s="74">
        <v>2.95698925E-2</v>
      </c>
      <c r="D48" s="20">
        <v>36.9</v>
      </c>
      <c r="E48" s="21">
        <f t="shared" si="14"/>
        <v>-3.6553524804177513E-2</v>
      </c>
      <c r="F48" s="22">
        <f>IF(ISNUMBER(D48), $B64 * E48, "")</f>
        <v>-10966.057441253253</v>
      </c>
      <c r="G48" s="30">
        <v>37.200000000000003</v>
      </c>
      <c r="H48" s="21">
        <f t="shared" si="15"/>
        <v>-2.8720626631853638E-2</v>
      </c>
      <c r="I48" s="101">
        <f>IF(ISNUMBER(G48), $B64 * H48, "")</f>
        <v>-8616.1879895560905</v>
      </c>
      <c r="J48" s="20">
        <v>36.799999999999997</v>
      </c>
      <c r="K48" s="21">
        <f t="shared" si="16"/>
        <v>-3.91644908616188E-2</v>
      </c>
      <c r="L48" s="22">
        <f>IF(ISNUMBER(J48), $B64 * K48, "")</f>
        <v>-11749.347258485641</v>
      </c>
      <c r="M48" s="30">
        <v>35.6</v>
      </c>
      <c r="N48" s="21">
        <f t="shared" si="17"/>
        <v>-7.0496083550913732E-2</v>
      </c>
      <c r="O48" s="22">
        <f>IF(ISNUMBER(M48), $B64 * N48, "")</f>
        <v>-21148.825065274119</v>
      </c>
      <c r="Q48" s="275"/>
      <c r="R48" s="275"/>
      <c r="S48" s="275"/>
    </row>
    <row r="49" spans="1:19" ht="17.25" customHeight="1" thickBot="1">
      <c r="A49" s="124" t="s">
        <v>254</v>
      </c>
      <c r="B49" s="128">
        <v>99</v>
      </c>
      <c r="C49" s="76">
        <v>2.3784901800000001E-2</v>
      </c>
      <c r="D49" s="102">
        <v>94.5</v>
      </c>
      <c r="E49" s="103">
        <f>IF(ISNUMBER(D49), (D49 - $B49) / $B49, "")</f>
        <v>-4.5454545454545456E-2</v>
      </c>
      <c r="F49" s="104">
        <f>IF(ISNUMBER(D49), $B64 * E49, "")</f>
        <v>-13636.363636363636</v>
      </c>
      <c r="G49" s="105">
        <v>95.3</v>
      </c>
      <c r="H49" s="103">
        <f>IF(ISNUMBER(G49), (G49 - $B49) / $B49, "")</f>
        <v>-3.7373737373737399E-2</v>
      </c>
      <c r="I49" s="106">
        <f>IF(ISNUMBER(G49), $B64 * H49, "")</f>
        <v>-11212.121212121219</v>
      </c>
      <c r="J49" s="102">
        <v>97.8</v>
      </c>
      <c r="K49" s="103">
        <f>IF(ISNUMBER(J49), (J49 - $B49) / $B49, "")</f>
        <v>-1.2121212121212151E-2</v>
      </c>
      <c r="L49" s="104">
        <f>IF(ISNUMBER(J49), $B64 * K49, "")</f>
        <v>-3636.3636363636451</v>
      </c>
      <c r="M49" s="105">
        <v>92.9</v>
      </c>
      <c r="N49" s="103">
        <f>IF(ISNUMBER(M49), (M49 - $B49) / $B49, "")</f>
        <v>-6.1616161616161562E-2</v>
      </c>
      <c r="O49" s="104">
        <f>IF(ISNUMBER(M49), $B64 * N49, "")</f>
        <v>-18484.84848484847</v>
      </c>
      <c r="Q49" s="275"/>
      <c r="R49" s="275"/>
      <c r="S49" s="275"/>
    </row>
    <row r="50" spans="1:19" ht="17.25" customHeight="1" thickBot="1">
      <c r="A50" s="124" t="s">
        <v>214</v>
      </c>
      <c r="B50" s="125">
        <v>25.3</v>
      </c>
      <c r="C50" s="73">
        <v>1.6064256999999998E-2</v>
      </c>
      <c r="D50" s="15">
        <v>24</v>
      </c>
      <c r="E50" s="32">
        <f t="shared" ref="E50:E53" si="18">IF(ISNUMBER(D50), (D50 - $B50) / $B50, "")</f>
        <v>-5.1383399209486195E-2</v>
      </c>
      <c r="F50" s="18">
        <f>IF(ISNUMBER(D50), $B64 * E50, "")</f>
        <v>-15415.019762845859</v>
      </c>
      <c r="G50" s="31">
        <v>24.4</v>
      </c>
      <c r="H50" s="32">
        <f t="shared" ref="H50:H53" si="19">IF(ISNUMBER(G50), (G50 - $B50) / $B50, "")</f>
        <v>-3.5573122529644355E-2</v>
      </c>
      <c r="I50" s="97">
        <f>IF(ISNUMBER(G50), $B64 * H50, "")</f>
        <v>-10671.936758893307</v>
      </c>
      <c r="J50" s="15">
        <v>24.2</v>
      </c>
      <c r="K50" s="32">
        <f t="shared" ref="K50:K53" si="20">IF(ISNUMBER(J50), (J50 - $B50) / $B50, "")</f>
        <v>-4.3478260869565272E-2</v>
      </c>
      <c r="L50" s="18">
        <f>IF(ISNUMBER(J50), $B64 * K50, "")</f>
        <v>-13043.478260869582</v>
      </c>
      <c r="M50" s="31">
        <v>23.5</v>
      </c>
      <c r="N50" s="32">
        <f t="shared" ref="N50:N53" si="21">IF(ISNUMBER(M50), (M50 - $B50) / $B50, "")</f>
        <v>-7.1146245059288557E-2</v>
      </c>
      <c r="O50" s="18">
        <f>IF(ISNUMBER(M50), $B64 * N50, "")</f>
        <v>-21343.873517786567</v>
      </c>
      <c r="Q50" s="275"/>
      <c r="R50" s="275"/>
      <c r="S50" s="275"/>
    </row>
    <row r="51" spans="1:19" ht="17.25" customHeight="1" thickBot="1">
      <c r="A51" s="124" t="s">
        <v>236</v>
      </c>
      <c r="B51" s="125">
        <v>78.400000000000006</v>
      </c>
      <c r="C51" s="73">
        <v>9.0090090000000001E-3</v>
      </c>
      <c r="D51" s="15">
        <v>74.599999999999994</v>
      </c>
      <c r="E51" s="32">
        <f t="shared" si="18"/>
        <v>-4.8469387755102185E-2</v>
      </c>
      <c r="F51" s="18">
        <f>IF(ISNUMBER(D51), $B64 * E51, "")</f>
        <v>-14540.816326530656</v>
      </c>
      <c r="G51" s="31">
        <v>75.099999999999994</v>
      </c>
      <c r="H51" s="32">
        <f t="shared" si="19"/>
        <v>-4.2091836734694021E-2</v>
      </c>
      <c r="I51" s="97">
        <f>IF(ISNUMBER(G51), $B64 * H51, "")</f>
        <v>-12627.551020408206</v>
      </c>
      <c r="J51" s="15">
        <v>74.7</v>
      </c>
      <c r="K51" s="32">
        <f t="shared" si="20"/>
        <v>-4.719387755102044E-2</v>
      </c>
      <c r="L51" s="18">
        <f>IF(ISNUMBER(J51), $B64 * K51, "")</f>
        <v>-14158.163265306132</v>
      </c>
      <c r="M51" s="31">
        <v>72.2</v>
      </c>
      <c r="N51" s="32">
        <f t="shared" si="21"/>
        <v>-7.9081632653061257E-2</v>
      </c>
      <c r="O51" s="18">
        <f>IF(ISNUMBER(M51), $B64 * N51, "")</f>
        <v>-23724.489795918376</v>
      </c>
      <c r="Q51" s="275"/>
      <c r="R51" s="275"/>
      <c r="S51" s="275"/>
    </row>
    <row r="52" spans="1:19" ht="17.25" customHeight="1" thickBot="1">
      <c r="A52" s="124" t="s">
        <v>196</v>
      </c>
      <c r="B52" s="125">
        <v>22.6</v>
      </c>
      <c r="C52" s="73">
        <v>4.4444443999999998E-3</v>
      </c>
      <c r="D52" s="15">
        <v>22</v>
      </c>
      <c r="E52" s="32">
        <f t="shared" si="18"/>
        <v>-2.6548672566371743E-2</v>
      </c>
      <c r="F52" s="18">
        <f>IF(ISNUMBER(D52), $B64 * E52, "")</f>
        <v>-7964.6017699115228</v>
      </c>
      <c r="G52" s="31">
        <v>22.1</v>
      </c>
      <c r="H52" s="32">
        <f t="shared" si="19"/>
        <v>-2.2123893805309734E-2</v>
      </c>
      <c r="I52" s="97">
        <f>IF(ISNUMBER(G52), $B64 * H52, "")</f>
        <v>-6637.1681415929206</v>
      </c>
      <c r="J52" s="15">
        <v>22.1</v>
      </c>
      <c r="K52" s="32">
        <f t="shared" si="20"/>
        <v>-2.2123893805309734E-2</v>
      </c>
      <c r="L52" s="18">
        <f>IF(ISNUMBER(J52), $B64 * K52, "")</f>
        <v>-6637.1681415929206</v>
      </c>
      <c r="M52" s="31">
        <v>21.1</v>
      </c>
      <c r="N52" s="32">
        <f t="shared" si="21"/>
        <v>-6.6371681415929196E-2</v>
      </c>
      <c r="O52" s="18">
        <f>IF(ISNUMBER(M52), $B64 * N52, "")</f>
        <v>-19911.504424778759</v>
      </c>
      <c r="Q52" s="33"/>
      <c r="R52" s="33"/>
    </row>
    <row r="53" spans="1:19" ht="17.25" customHeight="1" thickBot="1">
      <c r="A53" s="129" t="s">
        <v>100</v>
      </c>
      <c r="B53" s="130">
        <v>8.4700000000000006</v>
      </c>
      <c r="C53" s="75">
        <v>3.5545023999999999E-3</v>
      </c>
      <c r="D53" s="24">
        <v>8.2200000000000006</v>
      </c>
      <c r="E53" s="25">
        <f t="shared" si="18"/>
        <v>-2.9515938606847696E-2</v>
      </c>
      <c r="F53" s="100">
        <f>IF(ISNUMBER(D53), $B64 * E53, "")</f>
        <v>-8854.7815820543092</v>
      </c>
      <c r="G53" s="98">
        <v>8.26</v>
      </c>
      <c r="H53" s="25">
        <f t="shared" si="19"/>
        <v>-2.4793388429752164E-2</v>
      </c>
      <c r="I53" s="99">
        <f>IF(ISNUMBER(G53), $B64 * H53, "")</f>
        <v>-7438.0165289256493</v>
      </c>
      <c r="J53" s="24">
        <v>8.23</v>
      </c>
      <c r="K53" s="25">
        <f t="shared" si="20"/>
        <v>-2.8335301062573814E-2</v>
      </c>
      <c r="L53" s="100">
        <f>IF(ISNUMBER(J53), $B64 * K53, "")</f>
        <v>-8500.5903187721451</v>
      </c>
      <c r="M53" s="98">
        <v>8.08</v>
      </c>
      <c r="N53" s="25">
        <f t="shared" si="21"/>
        <v>-4.6044864226682469E-2</v>
      </c>
      <c r="O53" s="100">
        <f>IF(ISNUMBER(M53), $B64 * N53, "")</f>
        <v>-13813.459268004741</v>
      </c>
      <c r="Q53" s="284"/>
      <c r="R53" s="285"/>
      <c r="S53" s="286"/>
    </row>
    <row r="54" spans="1:19" ht="17.25" customHeight="1">
      <c r="A54" s="122" t="s">
        <v>172</v>
      </c>
      <c r="B54" s="123">
        <v>28.7</v>
      </c>
      <c r="C54" s="72">
        <v>3.4965034999999999E-3</v>
      </c>
      <c r="D54" s="13">
        <v>27.4</v>
      </c>
      <c r="E54" s="14">
        <f>IF(ISNUMBER(D54), (D54 - $B54) / $B54, "")</f>
        <v>-4.5296167247386783E-2</v>
      </c>
      <c r="F54" s="16">
        <f>IF(ISNUMBER(D54), $B64 * E54, "")</f>
        <v>-13588.850174216035</v>
      </c>
      <c r="G54" s="29">
        <v>27.3</v>
      </c>
      <c r="H54" s="14">
        <f>IF(ISNUMBER(G54), (G54 - $B54) / $B54, "")</f>
        <v>-4.8780487804878002E-2</v>
      </c>
      <c r="I54" s="96">
        <f>IF(ISNUMBER(G54), $B64 * H54, "")</f>
        <v>-14634.1463414634</v>
      </c>
      <c r="J54" s="13">
        <v>27.5</v>
      </c>
      <c r="K54" s="14">
        <f>IF(ISNUMBER(J54), (J54 - $B54) / $B54, "")</f>
        <v>-4.1811846689895446E-2</v>
      </c>
      <c r="L54" s="16">
        <f>IF(ISNUMBER(J54), $B64 * K54, "")</f>
        <v>-12543.554006968634</v>
      </c>
      <c r="M54" s="29">
        <v>26.5</v>
      </c>
      <c r="N54" s="14">
        <f>IF(ISNUMBER(M54), (M54 - $B54) / $B54, "")</f>
        <v>-7.6655052264808343E-2</v>
      </c>
      <c r="O54" s="16">
        <f>IF(ISNUMBER(M54), $B64 * N54, "")</f>
        <v>-22996.515679442502</v>
      </c>
      <c r="Q54" s="287"/>
      <c r="R54" s="288"/>
      <c r="S54" s="289"/>
    </row>
    <row r="55" spans="1:19" ht="17.25" customHeight="1" thickBot="1">
      <c r="A55" s="124" t="s">
        <v>228</v>
      </c>
      <c r="B55" s="125">
        <v>21.1</v>
      </c>
      <c r="C55" s="73">
        <v>0</v>
      </c>
      <c r="D55" s="15">
        <v>20.100000000000001</v>
      </c>
      <c r="E55" s="32">
        <f t="shared" ref="E55:E58" si="22">IF(ISNUMBER(D55), (D55 - $B55) / $B55, "")</f>
        <v>-4.7393364928909949E-2</v>
      </c>
      <c r="F55" s="18">
        <f>IF(ISNUMBER(D55), $B64 * E55, "")</f>
        <v>-14218.009478672984</v>
      </c>
      <c r="G55" s="31">
        <v>20.2</v>
      </c>
      <c r="H55" s="32">
        <f t="shared" ref="H55:H58" si="23">IF(ISNUMBER(G55), (G55 - $B55) / $B55, "")</f>
        <v>-4.2654028436019058E-2</v>
      </c>
      <c r="I55" s="97">
        <f>IF(ISNUMBER(G55), $B64 * H55, "")</f>
        <v>-12796.208530805718</v>
      </c>
      <c r="J55" s="15">
        <v>20.2</v>
      </c>
      <c r="K55" s="32">
        <f t="shared" ref="K55:K58" si="24">IF(ISNUMBER(J55), (J55 - $B55) / $B55, "")</f>
        <v>-4.2654028436019058E-2</v>
      </c>
      <c r="L55" s="18">
        <f>IF(ISNUMBER(J55), $B64 * K55, "")</f>
        <v>-12796.208530805718</v>
      </c>
      <c r="M55" s="31">
        <v>19.5</v>
      </c>
      <c r="N55" s="32">
        <f t="shared" ref="N55:N58" si="25">IF(ISNUMBER(M55), (M55 - $B55) / $B55, "")</f>
        <v>-7.5829383886255985E-2</v>
      </c>
      <c r="O55" s="18">
        <f>IF(ISNUMBER(M55), $B64 * N55, "")</f>
        <v>-22748.815165876797</v>
      </c>
      <c r="Q55" s="290"/>
      <c r="R55" s="291"/>
      <c r="S55" s="292"/>
    </row>
    <row r="56" spans="1:19" ht="17.25" customHeight="1" thickBot="1">
      <c r="A56" s="124" t="s">
        <v>222</v>
      </c>
      <c r="B56" s="125">
        <v>20.7</v>
      </c>
      <c r="C56" s="73">
        <v>0</v>
      </c>
      <c r="D56" s="15">
        <v>20</v>
      </c>
      <c r="E56" s="32">
        <f t="shared" si="22"/>
        <v>-3.3816425120772917E-2</v>
      </c>
      <c r="F56" s="18">
        <f>IF(ISNUMBER(D56), $B64 * E56, "")</f>
        <v>-10144.927536231875</v>
      </c>
      <c r="G56" s="31">
        <v>20.100000000000001</v>
      </c>
      <c r="H56" s="32">
        <f t="shared" si="23"/>
        <v>-2.8985507246376711E-2</v>
      </c>
      <c r="I56" s="97">
        <f>IF(ISNUMBER(G56), $B64 * H56, "")</f>
        <v>-8695.652173913013</v>
      </c>
      <c r="J56" s="15">
        <v>20.100000000000001</v>
      </c>
      <c r="K56" s="32">
        <f t="shared" si="24"/>
        <v>-2.8985507246376711E-2</v>
      </c>
      <c r="L56" s="18">
        <f>IF(ISNUMBER(J56), $B64 * K56, "")</f>
        <v>-8695.652173913013</v>
      </c>
      <c r="M56" s="31">
        <v>19.3</v>
      </c>
      <c r="N56" s="32">
        <f t="shared" si="25"/>
        <v>-6.7632850241545833E-2</v>
      </c>
      <c r="O56" s="18">
        <f>IF(ISNUMBER(M56), $B64 * N56, "")</f>
        <v>-20289.85507246375</v>
      </c>
      <c r="Q56" s="275"/>
      <c r="R56" s="275"/>
      <c r="S56" s="275"/>
    </row>
    <row r="57" spans="1:19" ht="17.25" customHeight="1" thickBot="1">
      <c r="A57" s="124" t="s">
        <v>198</v>
      </c>
      <c r="B57" s="125">
        <v>32.4</v>
      </c>
      <c r="C57" s="73">
        <v>0</v>
      </c>
      <c r="D57" s="15">
        <v>30.9</v>
      </c>
      <c r="E57" s="32">
        <f t="shared" si="22"/>
        <v>-4.6296296296296301E-2</v>
      </c>
      <c r="F57" s="18">
        <f>IF(ISNUMBER(D57), $B64 * E57, "")</f>
        <v>-13888.888888888891</v>
      </c>
      <c r="G57" s="31">
        <v>31.1</v>
      </c>
      <c r="H57" s="32">
        <f t="shared" si="23"/>
        <v>-4.0123456790123371E-2</v>
      </c>
      <c r="I57" s="97">
        <f>IF(ISNUMBER(G57), $B64 * H57, "")</f>
        <v>-12037.037037037011</v>
      </c>
      <c r="J57" s="15">
        <v>31</v>
      </c>
      <c r="K57" s="32">
        <f t="shared" si="24"/>
        <v>-4.3209876543209833E-2</v>
      </c>
      <c r="L57" s="18">
        <f>IF(ISNUMBER(J57), $B64 * K57, "")</f>
        <v>-12962.962962962949</v>
      </c>
      <c r="M57" s="31">
        <v>29.9</v>
      </c>
      <c r="N57" s="32">
        <f t="shared" si="25"/>
        <v>-7.7160493827160503E-2</v>
      </c>
      <c r="O57" s="18">
        <f>IF(ISNUMBER(M57), $B64 * N57, "")</f>
        <v>-23148.14814814815</v>
      </c>
      <c r="Q57" s="270"/>
      <c r="R57" s="270"/>
      <c r="S57" s="270"/>
    </row>
    <row r="58" spans="1:19" ht="17.25" customHeight="1" thickBot="1">
      <c r="A58" s="126" t="s">
        <v>152</v>
      </c>
      <c r="B58" s="127">
        <v>49.8</v>
      </c>
      <c r="C58" s="74">
        <v>-2.0040079999999998E-3</v>
      </c>
      <c r="D58" s="20">
        <v>47.6</v>
      </c>
      <c r="E58" s="21">
        <f t="shared" si="22"/>
        <v>-4.4176706827309155E-2</v>
      </c>
      <c r="F58" s="22">
        <f>IF(ISNUMBER(D58), $B64 * E58, "")</f>
        <v>-13253.012048192746</v>
      </c>
      <c r="G58" s="30">
        <v>48</v>
      </c>
      <c r="H58" s="21">
        <f t="shared" si="23"/>
        <v>-3.6144578313252955E-2</v>
      </c>
      <c r="I58" s="101">
        <f>IF(ISNUMBER(G58), $B64 * H58, "")</f>
        <v>-10843.373493975887</v>
      </c>
      <c r="J58" s="20">
        <v>47.8</v>
      </c>
      <c r="K58" s="21">
        <f t="shared" si="24"/>
        <v>-4.0160642570281124E-2</v>
      </c>
      <c r="L58" s="22">
        <f>IF(ISNUMBER(J58), $B64 * K58, "")</f>
        <v>-12048.192771084337</v>
      </c>
      <c r="M58" s="30">
        <v>45.6</v>
      </c>
      <c r="N58" s="21">
        <f t="shared" si="25"/>
        <v>-8.4337349397590286E-2</v>
      </c>
      <c r="O58" s="22">
        <f>IF(ISNUMBER(M58), $B64 * N58, "")</f>
        <v>-25301.204819277085</v>
      </c>
      <c r="Q58" s="270"/>
      <c r="R58" s="270"/>
      <c r="S58" s="270"/>
    </row>
    <row r="59" spans="1:19" ht="17.25" customHeight="1" thickBot="1">
      <c r="A59" s="124" t="s">
        <v>218</v>
      </c>
      <c r="B59" s="128">
        <v>32.799999999999997</v>
      </c>
      <c r="C59" s="76">
        <v>-3.0395137E-3</v>
      </c>
      <c r="D59" s="102">
        <v>31.3</v>
      </c>
      <c r="E59" s="103">
        <f>IF(ISNUMBER(D59), (D59 - $B59) / $B59, "")</f>
        <v>-4.5731707317073066E-2</v>
      </c>
      <c r="F59" s="104">
        <f>IF(ISNUMBER(D59), $B64 * E59, "")</f>
        <v>-13719.512195121919</v>
      </c>
      <c r="G59" s="105">
        <v>31.8</v>
      </c>
      <c r="H59" s="103">
        <f>IF(ISNUMBER(G59), (G59 - $B59) / $B59, "")</f>
        <v>-3.0487804878048676E-2</v>
      </c>
      <c r="I59" s="106">
        <f>IF(ISNUMBER(G59), $B64 * H59, "")</f>
        <v>-9146.3414634146029</v>
      </c>
      <c r="J59" s="102">
        <v>31.4</v>
      </c>
      <c r="K59" s="103">
        <f>IF(ISNUMBER(J59), (J59 - $B59) / $B59, "")</f>
        <v>-4.2682926829268254E-2</v>
      </c>
      <c r="L59" s="104">
        <f>IF(ISNUMBER(J59), $B64 * K59, "")</f>
        <v>-12804.878048780476</v>
      </c>
      <c r="M59" s="105">
        <v>30.3</v>
      </c>
      <c r="N59" s="103">
        <f>IF(ISNUMBER(M59), (M59 - $B59) / $B59, "")</f>
        <v>-7.6219512195121852E-2</v>
      </c>
      <c r="O59" s="104">
        <f>IF(ISNUMBER(M59), $B64 * N59, "")</f>
        <v>-22865.853658536555</v>
      </c>
      <c r="Q59" s="275"/>
      <c r="R59" s="275"/>
      <c r="S59" s="275"/>
    </row>
    <row r="60" spans="1:19" ht="17.25" customHeight="1" thickBot="1">
      <c r="A60" s="124" t="s">
        <v>126</v>
      </c>
      <c r="B60" s="125">
        <v>68.7</v>
      </c>
      <c r="C60" s="73">
        <v>-7.2254334999999996E-3</v>
      </c>
      <c r="D60" s="15">
        <v>65.7</v>
      </c>
      <c r="E60" s="32">
        <f t="shared" ref="E60:E63" si="26">IF(ISNUMBER(D60), (D60 - $B60) / $B60, "")</f>
        <v>-4.3668122270742356E-2</v>
      </c>
      <c r="F60" s="18">
        <f>IF(ISNUMBER(D60), $B64 * E60, "")</f>
        <v>-13100.436681222707</v>
      </c>
      <c r="G60" s="31">
        <v>66.099999999999994</v>
      </c>
      <c r="H60" s="32">
        <f t="shared" ref="H60:H63" si="27">IF(ISNUMBER(G60), (G60 - $B60) / $B60, "")</f>
        <v>-3.7845705967976831E-2</v>
      </c>
      <c r="I60" s="97">
        <f>IF(ISNUMBER(G60), $B64 * H60, "")</f>
        <v>-11353.711790393048</v>
      </c>
      <c r="J60" s="15">
        <v>65.7</v>
      </c>
      <c r="K60" s="32">
        <f t="shared" ref="K60:K63" si="28">IF(ISNUMBER(J60), (J60 - $B60) / $B60, "")</f>
        <v>-4.3668122270742356E-2</v>
      </c>
      <c r="L60" s="18">
        <f>IF(ISNUMBER(J60), $B64 * K60, "")</f>
        <v>-13100.436681222707</v>
      </c>
      <c r="M60" s="31">
        <v>63.1</v>
      </c>
      <c r="N60" s="32">
        <f t="shared" ref="N60:N63" si="29">IF(ISNUMBER(M60), (M60 - $B60) / $B60, "")</f>
        <v>-8.1513828238719083E-2</v>
      </c>
      <c r="O60" s="18">
        <f>IF(ISNUMBER(M60), $B64 * N60, "")</f>
        <v>-24454.148471615725</v>
      </c>
      <c r="Q60" s="275"/>
      <c r="R60" s="275"/>
      <c r="S60" s="275"/>
    </row>
    <row r="61" spans="1:19" ht="17.25" customHeight="1" thickBot="1">
      <c r="A61" s="124"/>
      <c r="B61" s="125"/>
      <c r="C61" s="73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97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275"/>
      <c r="R61" s="275"/>
      <c r="S61" s="275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97"/>
      <c r="R62" s="298"/>
      <c r="S62" s="299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00"/>
      <c r="R63" s="301"/>
      <c r="S63" s="302"/>
    </row>
    <row r="64" spans="1:19" ht="17.25" customHeight="1" thickBot="1">
      <c r="A64" s="131" t="s">
        <v>301</v>
      </c>
      <c r="B64" s="308">
        <f>$B$37</f>
        <v>300000</v>
      </c>
      <c r="C64" s="309"/>
      <c r="D64" s="26" t="s">
        <v>302</v>
      </c>
      <c r="E64" s="27">
        <f>IF(COUNT(E44:E63), SUM(E44:E63) / COUNT(E44:E63), 0)</f>
        <v>-3.6609450405259723E-2</v>
      </c>
      <c r="F64" s="28">
        <f>SUM(F44:F63)</f>
        <v>-186708.19706682459</v>
      </c>
      <c r="G64" s="26" t="s">
        <v>302</v>
      </c>
      <c r="H64" s="27">
        <f>IF(COUNT(H44:H63), SUM(H44:H63) / COUNT(H44:H63), 0)</f>
        <v>-3.0480653061807909E-2</v>
      </c>
      <c r="I64" s="28">
        <f>SUM(I44:I63)</f>
        <v>-155451.3306152203</v>
      </c>
      <c r="J64" s="26" t="s">
        <v>302</v>
      </c>
      <c r="K64" s="27">
        <f>IF(COUNT(K44:K63), SUM(K44:K63) / COUNT(K44:K63), 0)</f>
        <v>-3.0129100772314142E-2</v>
      </c>
      <c r="L64" s="28">
        <f>SUM(L44:L63)</f>
        <v>-153658.41393880208</v>
      </c>
      <c r="M64" s="26" t="s">
        <v>302</v>
      </c>
      <c r="N64" s="27">
        <f>IF(COUNT(N44:N63), SUM(N44:N63) / COUNT(N44:N63), 0)</f>
        <v>-6.7897658694840837E-2</v>
      </c>
      <c r="O64" s="28">
        <f>SUM(O44:O63)</f>
        <v>-346278.05934368825</v>
      </c>
      <c r="Q64" s="303"/>
      <c r="R64" s="304"/>
      <c r="S64" s="305"/>
    </row>
    <row r="65" spans="1:19" ht="17.25" customHeight="1"/>
    <row r="66" spans="1:19" ht="17.25" customHeight="1" thickBot="1"/>
    <row r="67" spans="1:19" ht="17.25" thickBot="1">
      <c r="A67" s="249" t="s">
        <v>45</v>
      </c>
      <c r="B67" s="250"/>
      <c r="C67" s="250"/>
      <c r="D67" s="250"/>
      <c r="E67" s="250"/>
      <c r="F67" s="250"/>
      <c r="G67" s="250"/>
      <c r="H67" s="250"/>
      <c r="I67" s="250"/>
      <c r="J67" s="250"/>
      <c r="K67" s="250"/>
      <c r="L67" s="250"/>
      <c r="M67" s="250"/>
      <c r="N67" s="250"/>
      <c r="O67" s="251"/>
      <c r="Q67" s="270"/>
      <c r="R67" s="270"/>
      <c r="S67" s="270"/>
    </row>
    <row r="68" spans="1:19" ht="17.25" thickBot="1">
      <c r="A68" s="112" t="s">
        <v>298</v>
      </c>
      <c r="B68" s="249" t="s">
        <v>49</v>
      </c>
      <c r="C68" s="251"/>
      <c r="D68" s="249" t="s">
        <v>58</v>
      </c>
      <c r="E68" s="250"/>
      <c r="F68" s="251"/>
      <c r="G68" s="276">
        <f>_xlfn.IFNA(VLOOKUP(B68, 현재가테이블!$B$2:$D$200, 2, FALSE), "-")</f>
        <v>60874000</v>
      </c>
      <c r="H68" s="277"/>
      <c r="I68" s="278"/>
      <c r="J68" s="249" t="s">
        <v>59</v>
      </c>
      <c r="K68" s="250"/>
      <c r="L68" s="251"/>
      <c r="M68" s="279">
        <f>_xlfn.IFNA(VLOOKUP(B68, 현재가테이블!$B$2:$D$200, 3, FALSE), "-")</f>
        <v>-1.4936000099999999E-2</v>
      </c>
      <c r="N68" s="280"/>
      <c r="O68" s="281"/>
      <c r="Q68" s="270"/>
      <c r="R68" s="270"/>
      <c r="S68" s="270"/>
    </row>
    <row r="69" spans="1:19" ht="17.25" thickBot="1">
      <c r="A69" s="310" t="s">
        <v>55</v>
      </c>
      <c r="B69" s="312" t="str">
        <f>TEXT($G$1, "[$-ko-KR]yyyy-mm-dd(ddd) ") &amp; "오전 00:00"</f>
        <v>2021-05-04(화) 오전 00:00</v>
      </c>
      <c r="C69" s="313"/>
      <c r="D69" s="272" t="str">
        <f>TEXT($G$1, "[$-ko-KR]yyyy-mm-dd(ddd) ") &amp; "오후 14:00"</f>
        <v>2021-05-04(화) 오후 14:00</v>
      </c>
      <c r="E69" s="273"/>
      <c r="F69" s="274"/>
      <c r="G69" s="272" t="str">
        <f>TEXT($G$1, "[$-ko-KR]yyyy-mm-dd(ddd) ") &amp; "오후 19:00"</f>
        <v>2021-05-04(화) 오후 19:00</v>
      </c>
      <c r="H69" s="273"/>
      <c r="I69" s="274"/>
      <c r="J69" s="272" t="str">
        <f>TEXT($G$1, "[$-ko-KR]yyyy-mm-dd(ddd) ") &amp; "오후 21:00"</f>
        <v>2021-05-04(화) 오후 21:00</v>
      </c>
      <c r="K69" s="273"/>
      <c r="L69" s="274"/>
      <c r="M69" s="272" t="str">
        <f>TEXT($G$1+1, "[$-ko-KR]yyyy-mm-dd(ddd) ") &amp; "오전 00:00"</f>
        <v>2021-05-05(수) 오전 00:00</v>
      </c>
      <c r="N69" s="273"/>
      <c r="O69" s="274"/>
      <c r="Q69" s="270"/>
      <c r="R69" s="270"/>
      <c r="S69" s="270"/>
    </row>
    <row r="70" spans="1:19" ht="17.25" thickBot="1">
      <c r="A70" s="311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13" t="s">
        <v>58</v>
      </c>
      <c r="H70" s="114" t="s">
        <v>299</v>
      </c>
      <c r="I70" s="115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75"/>
      <c r="R70" s="275"/>
      <c r="S70" s="275"/>
    </row>
    <row r="71" spans="1:19" ht="17.25" thickBot="1">
      <c r="A71" s="122" t="s">
        <v>268</v>
      </c>
      <c r="B71" s="123">
        <v>113</v>
      </c>
      <c r="C71" s="72">
        <v>0.1188118812</v>
      </c>
      <c r="D71" s="13">
        <v>107</v>
      </c>
      <c r="E71" s="14">
        <f>IF(ISNUMBER(D71), (D71 - $B71) / $B71, "")</f>
        <v>-5.3097345132743362E-2</v>
      </c>
      <c r="F71" s="16">
        <f>IF(ISNUMBER(D71), $B91 * E71, "")</f>
        <v>-15929.203539823009</v>
      </c>
      <c r="G71" s="29">
        <v>107</v>
      </c>
      <c r="H71" s="14">
        <f>IF(ISNUMBER(G71), (G71 - $B71) / $B71, "")</f>
        <v>-5.3097345132743362E-2</v>
      </c>
      <c r="I71" s="96">
        <f>IF(ISNUMBER(G71), $B91 * H71, "")</f>
        <v>-15929.203539823009</v>
      </c>
      <c r="J71" s="13">
        <v>111</v>
      </c>
      <c r="K71" s="14">
        <f>IF(ISNUMBER(J71), (J71 - $B71) / $B71, "")</f>
        <v>-1.7699115044247787E-2</v>
      </c>
      <c r="L71" s="16">
        <f>IF(ISNUMBER(J71), $B91 * K71, "")</f>
        <v>-5309.7345132743358</v>
      </c>
      <c r="M71" s="29">
        <v>105</v>
      </c>
      <c r="N71" s="14">
        <f>IF(ISNUMBER(M71), (M71 - $B71) / $B71, "")</f>
        <v>-7.0796460176991149E-2</v>
      </c>
      <c r="O71" s="16">
        <f>IF(ISNUMBER(M71), $B91 * N71, "")</f>
        <v>-21238.938053097343</v>
      </c>
      <c r="Q71" s="270"/>
      <c r="R71" s="270"/>
      <c r="S71" s="270"/>
    </row>
    <row r="72" spans="1:19" ht="17.25" thickBot="1">
      <c r="A72" s="124" t="s">
        <v>136</v>
      </c>
      <c r="B72" s="125">
        <v>269</v>
      </c>
      <c r="C72" s="73">
        <v>9.3495935000000002E-2</v>
      </c>
      <c r="D72" s="15">
        <v>251</v>
      </c>
      <c r="E72" s="32">
        <f t="shared" ref="E72:E75" si="30">IF(ISNUMBER(D72), (D72 - $B72) / $B72, "")</f>
        <v>-6.6914498141263934E-2</v>
      </c>
      <c r="F72" s="18">
        <f>IF(ISNUMBER(D72), $B91 * E72, "")</f>
        <v>-20074.349442379182</v>
      </c>
      <c r="G72" s="31">
        <v>253</v>
      </c>
      <c r="H72" s="32">
        <f t="shared" ref="H72:H75" si="31">IF(ISNUMBER(G72), (G72 - $B72) / $B72, "")</f>
        <v>-5.9479553903345722E-2</v>
      </c>
      <c r="I72" s="97">
        <f>IF(ISNUMBER(G72), $B91 * H72, "")</f>
        <v>-17843.866171003716</v>
      </c>
      <c r="J72" s="15">
        <v>260</v>
      </c>
      <c r="K72" s="32">
        <f t="shared" ref="K72:K75" si="32">IF(ISNUMBER(J72), (J72 - $B72) / $B72, "")</f>
        <v>-3.3457249070631967E-2</v>
      </c>
      <c r="L72" s="18">
        <f>IF(ISNUMBER(J72), $B91 * K72, "")</f>
        <v>-10037.174721189591</v>
      </c>
      <c r="M72" s="31">
        <v>254</v>
      </c>
      <c r="N72" s="32">
        <f t="shared" ref="N72:N75" si="33">IF(ISNUMBER(M72), (M72 - $B72) / $B72, "")</f>
        <v>-5.5762081784386616E-2</v>
      </c>
      <c r="O72" s="18">
        <f>IF(ISNUMBER(M72), $B91 * N72, "")</f>
        <v>-16728.624535315987</v>
      </c>
      <c r="Q72" s="270"/>
      <c r="R72" s="270"/>
      <c r="S72" s="270"/>
    </row>
    <row r="73" spans="1:19" ht="17.25" thickBot="1">
      <c r="A73" s="124" t="s">
        <v>142</v>
      </c>
      <c r="B73" s="125">
        <v>466</v>
      </c>
      <c r="C73" s="73">
        <v>7.8703703700000002E-2</v>
      </c>
      <c r="D73" s="15">
        <v>443</v>
      </c>
      <c r="E73" s="32">
        <f t="shared" si="30"/>
        <v>-4.9356223175965663E-2</v>
      </c>
      <c r="F73" s="18">
        <f>IF(ISNUMBER(D73), $B91 * E73, "")</f>
        <v>-14806.866952789698</v>
      </c>
      <c r="G73" s="31">
        <v>447</v>
      </c>
      <c r="H73" s="32">
        <f t="shared" si="31"/>
        <v>-4.07725321888412E-2</v>
      </c>
      <c r="I73" s="97">
        <f>IF(ISNUMBER(G73), $B91 * H73, "")</f>
        <v>-12231.759656652361</v>
      </c>
      <c r="J73" s="15">
        <v>443</v>
      </c>
      <c r="K73" s="32">
        <f t="shared" si="32"/>
        <v>-4.9356223175965663E-2</v>
      </c>
      <c r="L73" s="18">
        <f>IF(ISNUMBER(J73), $B91 * K73, "")</f>
        <v>-14806.866952789698</v>
      </c>
      <c r="M73" s="31">
        <v>422</v>
      </c>
      <c r="N73" s="32">
        <f t="shared" si="33"/>
        <v>-9.4420600858369105E-2</v>
      </c>
      <c r="O73" s="18">
        <f>IF(ISNUMBER(M73), $B91 * N73, "")</f>
        <v>-28326.180257510732</v>
      </c>
      <c r="Q73" s="275"/>
      <c r="R73" s="275"/>
      <c r="S73" s="275"/>
    </row>
    <row r="74" spans="1:19" ht="17.25" thickBot="1">
      <c r="A74" s="124" t="s">
        <v>116</v>
      </c>
      <c r="B74" s="125">
        <v>755</v>
      </c>
      <c r="C74" s="73">
        <v>7.2443181800000006E-2</v>
      </c>
      <c r="D74" s="15">
        <v>851</v>
      </c>
      <c r="E74" s="32">
        <f t="shared" si="30"/>
        <v>0.1271523178807947</v>
      </c>
      <c r="F74" s="18">
        <f>IF(ISNUMBER(D74), $B91 * E74, "")</f>
        <v>38145.695364238411</v>
      </c>
      <c r="G74" s="31">
        <v>856</v>
      </c>
      <c r="H74" s="32">
        <f t="shared" si="31"/>
        <v>0.1337748344370861</v>
      </c>
      <c r="I74" s="97">
        <f>IF(ISNUMBER(G74), $B91 * H74, "")</f>
        <v>40132.45033112583</v>
      </c>
      <c r="J74" s="15">
        <v>835</v>
      </c>
      <c r="K74" s="32">
        <f t="shared" si="32"/>
        <v>0.10596026490066225</v>
      </c>
      <c r="L74" s="18">
        <f>IF(ISNUMBER(J74), $B91 * K74, "")</f>
        <v>31788.079470198674</v>
      </c>
      <c r="M74" s="31">
        <v>780</v>
      </c>
      <c r="N74" s="32">
        <f t="shared" si="33"/>
        <v>3.3112582781456956E-2</v>
      </c>
      <c r="O74" s="18">
        <f>IF(ISNUMBER(M74), $B91 * N74, "")</f>
        <v>9933.7748344370866</v>
      </c>
      <c r="Q74" s="275"/>
      <c r="R74" s="275"/>
      <c r="S74" s="275"/>
    </row>
    <row r="75" spans="1:19" ht="17.25" thickBot="1">
      <c r="A75" s="126" t="s">
        <v>296</v>
      </c>
      <c r="B75" s="127">
        <v>479</v>
      </c>
      <c r="C75" s="74">
        <v>5.7395143500000002E-2</v>
      </c>
      <c r="D75" s="20">
        <v>540</v>
      </c>
      <c r="E75" s="21">
        <f t="shared" si="30"/>
        <v>0.12734864300626306</v>
      </c>
      <c r="F75" s="22">
        <f>IF(ISNUMBER(D75), $B91 * E75, "")</f>
        <v>38204.592901878917</v>
      </c>
      <c r="G75" s="30">
        <v>601</v>
      </c>
      <c r="H75" s="21">
        <f t="shared" si="31"/>
        <v>0.25469728601252611</v>
      </c>
      <c r="I75" s="101">
        <f>IF(ISNUMBER(G75), $B91 * H75, "")</f>
        <v>76409.185803757835</v>
      </c>
      <c r="J75" s="20">
        <v>617</v>
      </c>
      <c r="K75" s="21">
        <f t="shared" si="32"/>
        <v>0.2881002087682672</v>
      </c>
      <c r="L75" s="22">
        <f>IF(ISNUMBER(J75), $B91 * K75, "")</f>
        <v>86430.062630480155</v>
      </c>
      <c r="M75" s="30">
        <v>664</v>
      </c>
      <c r="N75" s="21">
        <f t="shared" si="33"/>
        <v>0.38622129436325681</v>
      </c>
      <c r="O75" s="22">
        <f>IF(ISNUMBER(M75), $B91 * N75, "")</f>
        <v>115866.38830897704</v>
      </c>
      <c r="Q75" s="275"/>
      <c r="R75" s="275"/>
      <c r="S75" s="275"/>
    </row>
    <row r="76" spans="1:19" ht="17.25" thickBot="1">
      <c r="A76" s="124" t="s">
        <v>128</v>
      </c>
      <c r="B76" s="128">
        <v>724</v>
      </c>
      <c r="C76" s="76">
        <v>5.5393586000000002E-2</v>
      </c>
      <c r="D76" s="102">
        <v>717</v>
      </c>
      <c r="E76" s="103">
        <f>IF(ISNUMBER(D76), (D76 - $B76) / $B76, "")</f>
        <v>-9.6685082872928173E-3</v>
      </c>
      <c r="F76" s="104">
        <f>IF(ISNUMBER(D76), $B91 * E76, "")</f>
        <v>-2900.5524861878453</v>
      </c>
      <c r="G76" s="105">
        <v>703</v>
      </c>
      <c r="H76" s="103">
        <f>IF(ISNUMBER(G76), (G76 - $B76) / $B76, "")</f>
        <v>-2.9005524861878452E-2</v>
      </c>
      <c r="I76" s="106">
        <f>IF(ISNUMBER(G76), $B91 * H76, "")</f>
        <v>-8701.6574585635353</v>
      </c>
      <c r="J76" s="102">
        <v>704</v>
      </c>
      <c r="K76" s="103">
        <f>IF(ISNUMBER(J76), (J76 - $B76) / $B76, "")</f>
        <v>-2.7624309392265192E-2</v>
      </c>
      <c r="L76" s="104">
        <f>IF(ISNUMBER(J76), $B91 * K76, "")</f>
        <v>-8287.2928176795576</v>
      </c>
      <c r="M76" s="105">
        <v>677</v>
      </c>
      <c r="N76" s="103">
        <f>IF(ISNUMBER(M76), (M76 - $B76) / $B76, "")</f>
        <v>-6.4917127071823205E-2</v>
      </c>
      <c r="O76" s="104">
        <f>IF(ISNUMBER(M76), $B91 * N76, "")</f>
        <v>-19475.138121546963</v>
      </c>
      <c r="Q76" s="275"/>
      <c r="R76" s="275"/>
      <c r="S76" s="275"/>
    </row>
    <row r="77" spans="1:19" ht="17.25" thickBot="1">
      <c r="A77" s="124" t="s">
        <v>278</v>
      </c>
      <c r="B77" s="125">
        <v>163</v>
      </c>
      <c r="C77" s="73">
        <v>5.1612903199999997E-2</v>
      </c>
      <c r="D77" s="15">
        <v>157</v>
      </c>
      <c r="E77" s="32">
        <f t="shared" ref="E77:E80" si="34">IF(ISNUMBER(D77), (D77 - $B77) / $B77, "")</f>
        <v>-3.6809815950920248E-2</v>
      </c>
      <c r="F77" s="18">
        <f>IF(ISNUMBER(D77), $B91 * E77, "")</f>
        <v>-11042.944785276075</v>
      </c>
      <c r="G77" s="31">
        <v>160</v>
      </c>
      <c r="H77" s="32">
        <f t="shared" ref="H77:H80" si="35">IF(ISNUMBER(G77), (G77 - $B77) / $B77, "")</f>
        <v>-1.8404907975460124E-2</v>
      </c>
      <c r="I77" s="97">
        <f>IF(ISNUMBER(G77), $B91 * H77, "")</f>
        <v>-5521.4723926380375</v>
      </c>
      <c r="J77" s="15">
        <v>158</v>
      </c>
      <c r="K77" s="32">
        <f t="shared" ref="K77:K80" si="36">IF(ISNUMBER(J77), (J77 - $B77) / $B77, "")</f>
        <v>-3.0674846625766871E-2</v>
      </c>
      <c r="L77" s="18">
        <f>IF(ISNUMBER(J77), $B91 * K77, "")</f>
        <v>-9202.4539877300613</v>
      </c>
      <c r="M77" s="31">
        <v>155</v>
      </c>
      <c r="N77" s="32">
        <f t="shared" ref="N77:N80" si="37">IF(ISNUMBER(M77), (M77 - $B77) / $B77, "")</f>
        <v>-4.9079754601226995E-2</v>
      </c>
      <c r="O77" s="18">
        <f>IF(ISNUMBER(M77), $B91 * N77, "")</f>
        <v>-14723.926380368099</v>
      </c>
      <c r="Q77" s="275"/>
      <c r="R77" s="275"/>
      <c r="S77" s="275"/>
    </row>
    <row r="78" spans="1:19" ht="17.25" thickBot="1">
      <c r="A78" s="124" t="s">
        <v>266</v>
      </c>
      <c r="B78" s="125">
        <v>100</v>
      </c>
      <c r="C78" s="73">
        <v>4.3841336100000003E-2</v>
      </c>
      <c r="D78" s="15">
        <v>94.7</v>
      </c>
      <c r="E78" s="32">
        <f t="shared" si="34"/>
        <v>-5.2999999999999971E-2</v>
      </c>
      <c r="F78" s="18">
        <f>IF(ISNUMBER(D78), $B91 * E78, "")</f>
        <v>-15899.999999999991</v>
      </c>
      <c r="G78" s="31">
        <v>106</v>
      </c>
      <c r="H78" s="32">
        <f t="shared" si="35"/>
        <v>0.06</v>
      </c>
      <c r="I78" s="97">
        <f>IF(ISNUMBER(G78), $B91 * H78, "")</f>
        <v>18000</v>
      </c>
      <c r="J78" s="15">
        <v>112</v>
      </c>
      <c r="K78" s="32">
        <f t="shared" si="36"/>
        <v>0.12</v>
      </c>
      <c r="L78" s="18">
        <f>IF(ISNUMBER(J78), $B91 * K78, "")</f>
        <v>36000</v>
      </c>
      <c r="M78" s="31">
        <v>104</v>
      </c>
      <c r="N78" s="32">
        <f t="shared" si="37"/>
        <v>0.04</v>
      </c>
      <c r="O78" s="18">
        <f>IF(ISNUMBER(M78), $B91 * N78, "")</f>
        <v>12000</v>
      </c>
      <c r="Q78" s="275"/>
      <c r="R78" s="275"/>
      <c r="S78" s="275"/>
    </row>
    <row r="79" spans="1:19" ht="17.25" thickBot="1">
      <c r="A79" s="124" t="s">
        <v>256</v>
      </c>
      <c r="B79" s="125">
        <v>282</v>
      </c>
      <c r="C79" s="73">
        <v>4.0590405900000001E-2</v>
      </c>
      <c r="D79" s="15">
        <v>273</v>
      </c>
      <c r="E79" s="32">
        <f t="shared" si="34"/>
        <v>-3.1914893617021274E-2</v>
      </c>
      <c r="F79" s="18">
        <f>IF(ISNUMBER(D79), $B91 * E79, "")</f>
        <v>-9574.4680851063822</v>
      </c>
      <c r="G79" s="31">
        <v>275</v>
      </c>
      <c r="H79" s="32">
        <f t="shared" si="35"/>
        <v>-2.4822695035460994E-2</v>
      </c>
      <c r="I79" s="97">
        <f>IF(ISNUMBER(G79), $B91 * H79, "")</f>
        <v>-7446.8085106382978</v>
      </c>
      <c r="J79" s="15">
        <v>275</v>
      </c>
      <c r="K79" s="32">
        <f t="shared" si="36"/>
        <v>-2.4822695035460994E-2</v>
      </c>
      <c r="L79" s="18">
        <f>IF(ISNUMBER(J79), $B91 * K79, "")</f>
        <v>-7446.8085106382978</v>
      </c>
      <c r="M79" s="31">
        <v>266</v>
      </c>
      <c r="N79" s="32">
        <f t="shared" si="37"/>
        <v>-5.6737588652482268E-2</v>
      </c>
      <c r="O79" s="18">
        <f>IF(ISNUMBER(M79), $B91 * N79, "")</f>
        <v>-17021.276595744679</v>
      </c>
      <c r="Q79" s="33"/>
      <c r="R79" s="33"/>
    </row>
    <row r="80" spans="1:19" ht="17.25" thickBot="1">
      <c r="A80" s="129" t="s">
        <v>122</v>
      </c>
      <c r="B80" s="130">
        <v>134</v>
      </c>
      <c r="C80" s="75">
        <v>3.8759689899999998E-2</v>
      </c>
      <c r="D80" s="24">
        <v>131</v>
      </c>
      <c r="E80" s="25">
        <f t="shared" si="34"/>
        <v>-2.2388059701492536E-2</v>
      </c>
      <c r="F80" s="100">
        <f>IF(ISNUMBER(D80), $B91 * E80, "")</f>
        <v>-6716.4179104477607</v>
      </c>
      <c r="G80" s="98">
        <v>131</v>
      </c>
      <c r="H80" s="25">
        <f t="shared" si="35"/>
        <v>-2.2388059701492536E-2</v>
      </c>
      <c r="I80" s="99">
        <f>IF(ISNUMBER(G80), $B91 * H80, "")</f>
        <v>-6716.4179104477607</v>
      </c>
      <c r="J80" s="24">
        <v>131</v>
      </c>
      <c r="K80" s="25">
        <f t="shared" si="36"/>
        <v>-2.2388059701492536E-2</v>
      </c>
      <c r="L80" s="100">
        <f>IF(ISNUMBER(J80), $B91 * K80, "")</f>
        <v>-6716.4179104477607</v>
      </c>
      <c r="M80" s="98">
        <v>124</v>
      </c>
      <c r="N80" s="25">
        <f t="shared" si="37"/>
        <v>-7.4626865671641784E-2</v>
      </c>
      <c r="O80" s="100">
        <f>IF(ISNUMBER(M80), $B91 * N80, "")</f>
        <v>-22388.059701492537</v>
      </c>
      <c r="Q80" s="284"/>
      <c r="R80" s="285"/>
      <c r="S80" s="286"/>
    </row>
    <row r="81" spans="1:19">
      <c r="A81" s="122" t="s">
        <v>168</v>
      </c>
      <c r="B81" s="123">
        <v>216</v>
      </c>
      <c r="C81" s="72">
        <v>3.8461538500000003E-2</v>
      </c>
      <c r="D81" s="13">
        <v>210</v>
      </c>
      <c r="E81" s="14">
        <f>IF(ISNUMBER(D81), (D81 - $B81) / $B81, "")</f>
        <v>-2.7777777777777776E-2</v>
      </c>
      <c r="F81" s="16">
        <f>IF(ISNUMBER(D81), $B91 * E81, "")</f>
        <v>-8333.3333333333321</v>
      </c>
      <c r="G81" s="29">
        <v>212</v>
      </c>
      <c r="H81" s="14">
        <f>IF(ISNUMBER(G81), (G81 - $B81) / $B81, "")</f>
        <v>-1.8518518518518517E-2</v>
      </c>
      <c r="I81" s="96">
        <f>IF(ISNUMBER(G81), $B91 * H81, "")</f>
        <v>-5555.5555555555557</v>
      </c>
      <c r="J81" s="13">
        <v>211</v>
      </c>
      <c r="K81" s="14">
        <f>IF(ISNUMBER(J81), (J81 - $B81) / $B81, "")</f>
        <v>-2.3148148148148147E-2</v>
      </c>
      <c r="L81" s="16">
        <f>IF(ISNUMBER(J81), $B91 * K81, "")</f>
        <v>-6944.4444444444443</v>
      </c>
      <c r="M81" s="29">
        <v>204</v>
      </c>
      <c r="N81" s="14">
        <f>IF(ISNUMBER(M81), (M81 - $B81) / $B81, "")</f>
        <v>-5.5555555555555552E-2</v>
      </c>
      <c r="O81" s="16">
        <f>IF(ISNUMBER(M81), $B91 * N81, "")</f>
        <v>-16666.666666666664</v>
      </c>
      <c r="Q81" s="287"/>
      <c r="R81" s="288"/>
      <c r="S81" s="289"/>
    </row>
    <row r="82" spans="1:19" ht="17.25" thickBot="1">
      <c r="A82" s="124" t="s">
        <v>148</v>
      </c>
      <c r="B82" s="125">
        <v>215</v>
      </c>
      <c r="C82" s="73">
        <v>3.3653846199999997E-2</v>
      </c>
      <c r="D82" s="15">
        <v>205</v>
      </c>
      <c r="E82" s="32">
        <f t="shared" ref="E82:E85" si="38">IF(ISNUMBER(D82), (D82 - $B82) / $B82, "")</f>
        <v>-4.6511627906976744E-2</v>
      </c>
      <c r="F82" s="18">
        <f>IF(ISNUMBER(D82), $B91 * E82, "")</f>
        <v>-13953.488372093023</v>
      </c>
      <c r="G82" s="31">
        <v>207</v>
      </c>
      <c r="H82" s="32">
        <f t="shared" ref="H82:H85" si="39">IF(ISNUMBER(G82), (G82 - $B82) / $B82, "")</f>
        <v>-3.7209302325581395E-2</v>
      </c>
      <c r="I82" s="97">
        <f>IF(ISNUMBER(G82), $B91 * H82, "")</f>
        <v>-11162.790697674418</v>
      </c>
      <c r="J82" s="15">
        <v>206</v>
      </c>
      <c r="K82" s="32">
        <f t="shared" ref="K82:K85" si="40">IF(ISNUMBER(J82), (J82 - $B82) / $B82, "")</f>
        <v>-4.1860465116279069E-2</v>
      </c>
      <c r="L82" s="18">
        <f>IF(ISNUMBER(J82), $B91 * K82, "")</f>
        <v>-12558.139534883721</v>
      </c>
      <c r="M82" s="31">
        <v>198</v>
      </c>
      <c r="N82" s="32">
        <f t="shared" ref="N82:N85" si="41">IF(ISNUMBER(M82), (M82 - $B82) / $B82, "")</f>
        <v>-7.9069767441860464E-2</v>
      </c>
      <c r="O82" s="18">
        <f>IF(ISNUMBER(M82), $B91 * N82, "")</f>
        <v>-23720.930232558138</v>
      </c>
      <c r="Q82" s="290"/>
      <c r="R82" s="291"/>
      <c r="S82" s="292"/>
    </row>
    <row r="83" spans="1:19" ht="17.25" thickBot="1">
      <c r="A83" s="124" t="s">
        <v>156</v>
      </c>
      <c r="B83" s="125">
        <v>160</v>
      </c>
      <c r="C83" s="73">
        <v>3.2258064500000003E-2</v>
      </c>
      <c r="D83" s="15">
        <v>156</v>
      </c>
      <c r="E83" s="32">
        <f t="shared" si="38"/>
        <v>-2.5000000000000001E-2</v>
      </c>
      <c r="F83" s="18">
        <f>IF(ISNUMBER(D83), $B91 * E83, "")</f>
        <v>-7500</v>
      </c>
      <c r="G83" s="31">
        <v>160</v>
      </c>
      <c r="H83" s="32">
        <f t="shared" si="39"/>
        <v>0</v>
      </c>
      <c r="I83" s="97">
        <f>IF(ISNUMBER(G83), $B91 * H83, "")</f>
        <v>0</v>
      </c>
      <c r="J83" s="15">
        <v>158</v>
      </c>
      <c r="K83" s="32">
        <f t="shared" si="40"/>
        <v>-1.2500000000000001E-2</v>
      </c>
      <c r="L83" s="18">
        <f>IF(ISNUMBER(J83), $B91 * K83, "")</f>
        <v>-3750</v>
      </c>
      <c r="M83" s="31">
        <v>156</v>
      </c>
      <c r="N83" s="32">
        <f t="shared" si="41"/>
        <v>-2.5000000000000001E-2</v>
      </c>
      <c r="O83" s="18">
        <f>IF(ISNUMBER(M83), $B91 * N83, "")</f>
        <v>-7500</v>
      </c>
      <c r="Q83" s="275"/>
      <c r="R83" s="275"/>
      <c r="S83" s="275"/>
    </row>
    <row r="84" spans="1:19" ht="17.25" thickBot="1">
      <c r="A84" s="124" t="s">
        <v>258</v>
      </c>
      <c r="B84" s="125">
        <v>780</v>
      </c>
      <c r="C84" s="73">
        <v>2.4967148500000001E-2</v>
      </c>
      <c r="D84" s="15">
        <v>772</v>
      </c>
      <c r="E84" s="32">
        <f t="shared" si="38"/>
        <v>-1.0256410256410256E-2</v>
      </c>
      <c r="F84" s="18">
        <f>IF(ISNUMBER(D84), $B91 * E84, "")</f>
        <v>-3076.9230769230771</v>
      </c>
      <c r="G84" s="31">
        <v>770</v>
      </c>
      <c r="H84" s="32">
        <f t="shared" si="39"/>
        <v>-1.282051282051282E-2</v>
      </c>
      <c r="I84" s="97">
        <f>IF(ISNUMBER(G84), $B91 * H84, "")</f>
        <v>-3846.1538461538462</v>
      </c>
      <c r="J84" s="15">
        <v>768</v>
      </c>
      <c r="K84" s="32">
        <f t="shared" si="40"/>
        <v>-1.5384615384615385E-2</v>
      </c>
      <c r="L84" s="18">
        <f>IF(ISNUMBER(J84), $B91 * K84, "")</f>
        <v>-4615.3846153846152</v>
      </c>
      <c r="M84" s="31">
        <v>747</v>
      </c>
      <c r="N84" s="32">
        <f t="shared" si="41"/>
        <v>-4.230769230769231E-2</v>
      </c>
      <c r="O84" s="18">
        <f>IF(ISNUMBER(M84), $B91 * N84, "")</f>
        <v>-12692.307692307693</v>
      </c>
      <c r="Q84" s="270"/>
      <c r="R84" s="270"/>
      <c r="S84" s="270"/>
    </row>
    <row r="85" spans="1:19" ht="17.25" thickBot="1">
      <c r="A85" s="126" t="s">
        <v>238</v>
      </c>
      <c r="B85" s="127">
        <v>333</v>
      </c>
      <c r="C85" s="74">
        <v>2.4615384600000002E-2</v>
      </c>
      <c r="D85" s="20">
        <v>314</v>
      </c>
      <c r="E85" s="21">
        <f t="shared" si="38"/>
        <v>-5.7057057057057055E-2</v>
      </c>
      <c r="F85" s="22">
        <f>IF(ISNUMBER(D85), $B91 * E85, "")</f>
        <v>-17117.117117117115</v>
      </c>
      <c r="G85" s="30">
        <v>317</v>
      </c>
      <c r="H85" s="21">
        <f t="shared" si="39"/>
        <v>-4.8048048048048048E-2</v>
      </c>
      <c r="I85" s="101">
        <f>IF(ISNUMBER(G85), $B91 * H85, "")</f>
        <v>-14414.414414414414</v>
      </c>
      <c r="J85" s="20">
        <v>316</v>
      </c>
      <c r="K85" s="21">
        <f t="shared" si="40"/>
        <v>-5.1051051051051052E-2</v>
      </c>
      <c r="L85" s="22">
        <f>IF(ISNUMBER(J85), $B91 * K85, "")</f>
        <v>-15315.315315315316</v>
      </c>
      <c r="M85" s="30">
        <v>309</v>
      </c>
      <c r="N85" s="21">
        <f t="shared" si="41"/>
        <v>-7.2072072072072071E-2</v>
      </c>
      <c r="O85" s="22">
        <f>IF(ISNUMBER(M85), $B91 * N85, "")</f>
        <v>-21621.62162162162</v>
      </c>
      <c r="Q85" s="270"/>
      <c r="R85" s="270"/>
      <c r="S85" s="270"/>
    </row>
    <row r="86" spans="1:19" ht="17.25" thickBot="1">
      <c r="A86" s="124" t="s">
        <v>270</v>
      </c>
      <c r="B86" s="128">
        <v>599</v>
      </c>
      <c r="C86" s="76">
        <v>2.2184300300000001E-2</v>
      </c>
      <c r="D86" s="102">
        <v>580</v>
      </c>
      <c r="E86" s="103">
        <f>IF(ISNUMBER(D86), (D86 - $B86) / $B86, "")</f>
        <v>-3.1719532554257093E-2</v>
      </c>
      <c r="F86" s="104">
        <f>IF(ISNUMBER(D86), $B91 * E86, "")</f>
        <v>-9515.8597662771281</v>
      </c>
      <c r="G86" s="105">
        <v>582</v>
      </c>
      <c r="H86" s="103">
        <f>IF(ISNUMBER(G86), (G86 - $B86) / $B86, "")</f>
        <v>-2.8380634390651086E-2</v>
      </c>
      <c r="I86" s="106">
        <f>IF(ISNUMBER(G86), $B91 * H86, "")</f>
        <v>-8514.1903171953254</v>
      </c>
      <c r="J86" s="102">
        <v>582</v>
      </c>
      <c r="K86" s="103">
        <f>IF(ISNUMBER(J86), (J86 - $B86) / $B86, "")</f>
        <v>-2.8380634390651086E-2</v>
      </c>
      <c r="L86" s="104">
        <f>IF(ISNUMBER(J86), $B91 * K86, "")</f>
        <v>-8514.1903171953254</v>
      </c>
      <c r="M86" s="105">
        <v>560</v>
      </c>
      <c r="N86" s="103">
        <f>IF(ISNUMBER(M86), (M86 - $B86) / $B86, "")</f>
        <v>-6.5108514190317199E-2</v>
      </c>
      <c r="O86" s="104">
        <f>IF(ISNUMBER(M86), $B91 * N86, "")</f>
        <v>-19532.554257095158</v>
      </c>
      <c r="Q86" s="275"/>
      <c r="R86" s="275"/>
      <c r="S86" s="275"/>
    </row>
    <row r="87" spans="1:19" ht="17.25" thickBot="1">
      <c r="A87" s="124" t="s">
        <v>264</v>
      </c>
      <c r="B87" s="125">
        <v>193</v>
      </c>
      <c r="C87" s="73">
        <v>2.1164021200000001E-2</v>
      </c>
      <c r="D87" s="15">
        <v>184</v>
      </c>
      <c r="E87" s="32">
        <f t="shared" ref="E87:E90" si="42">IF(ISNUMBER(D87), (D87 - $B87) / $B87, "")</f>
        <v>-4.6632124352331605E-2</v>
      </c>
      <c r="F87" s="18">
        <f>IF(ISNUMBER(D87), $B91 * E87, "")</f>
        <v>-13989.637305699482</v>
      </c>
      <c r="G87" s="31">
        <v>186</v>
      </c>
      <c r="H87" s="32">
        <f t="shared" ref="H87:H90" si="43">IF(ISNUMBER(G87), (G87 - $B87) / $B87, "")</f>
        <v>-3.6269430051813469E-2</v>
      </c>
      <c r="I87" s="97">
        <f>IF(ISNUMBER(G87), $B91 * H87, "")</f>
        <v>-10880.829015544041</v>
      </c>
      <c r="J87" s="15">
        <v>186</v>
      </c>
      <c r="K87" s="32">
        <f t="shared" ref="K87:K90" si="44">IF(ISNUMBER(J87), (J87 - $B87) / $B87, "")</f>
        <v>-3.6269430051813469E-2</v>
      </c>
      <c r="L87" s="18">
        <f>IF(ISNUMBER(J87), $B91 * K87, "")</f>
        <v>-10880.829015544041</v>
      </c>
      <c r="M87" s="31">
        <v>179</v>
      </c>
      <c r="N87" s="32">
        <f t="shared" ref="N87:N90" si="45">IF(ISNUMBER(M87), (M87 - $B87) / $B87, "")</f>
        <v>-7.2538860103626937E-2</v>
      </c>
      <c r="O87" s="18">
        <f>IF(ISNUMBER(M87), $B91 * N87, "")</f>
        <v>-21761.658031088082</v>
      </c>
      <c r="Q87" s="275"/>
      <c r="R87" s="275"/>
      <c r="S87" s="275"/>
    </row>
    <row r="88" spans="1:19" ht="17.25" thickBot="1">
      <c r="A88" s="124" t="s">
        <v>182</v>
      </c>
      <c r="B88" s="125">
        <v>504</v>
      </c>
      <c r="C88" s="73">
        <v>1.6129032299999999E-2</v>
      </c>
      <c r="D88" s="15">
        <v>486</v>
      </c>
      <c r="E88" s="32">
        <f t="shared" si="42"/>
        <v>-3.5714285714285712E-2</v>
      </c>
      <c r="F88" s="18">
        <f>IF(ISNUMBER(D88), $B91 * E88, "")</f>
        <v>-10714.285714285714</v>
      </c>
      <c r="G88" s="31">
        <v>491</v>
      </c>
      <c r="H88" s="32">
        <f t="shared" si="43"/>
        <v>-2.5793650793650792E-2</v>
      </c>
      <c r="I88" s="97">
        <f>IF(ISNUMBER(G88), $B91 * H88, "")</f>
        <v>-7738.0952380952376</v>
      </c>
      <c r="J88" s="15">
        <v>490</v>
      </c>
      <c r="K88" s="32">
        <f t="shared" si="44"/>
        <v>-2.7777777777777776E-2</v>
      </c>
      <c r="L88" s="18">
        <f>IF(ISNUMBER(J88), $B91 * K88, "")</f>
        <v>-8333.3333333333321</v>
      </c>
      <c r="M88" s="31">
        <v>469</v>
      </c>
      <c r="N88" s="32">
        <f t="shared" si="45"/>
        <v>-6.9444444444444448E-2</v>
      </c>
      <c r="O88" s="18">
        <f>IF(ISNUMBER(M88), $B91 * N88, "")</f>
        <v>-20833.333333333336</v>
      </c>
      <c r="Q88" s="275"/>
      <c r="R88" s="275"/>
      <c r="S88" s="275"/>
    </row>
    <row r="89" spans="1:19">
      <c r="A89" s="124" t="s">
        <v>57</v>
      </c>
      <c r="B89" s="125">
        <v>418</v>
      </c>
      <c r="C89" s="73">
        <v>1.45631068E-2</v>
      </c>
      <c r="D89" s="15">
        <v>409</v>
      </c>
      <c r="E89" s="32">
        <f t="shared" si="42"/>
        <v>-2.1531100478468901E-2</v>
      </c>
      <c r="F89" s="18">
        <f>IF(ISNUMBER(D89), $B91 * E89, "")</f>
        <v>-6459.3301435406702</v>
      </c>
      <c r="G89" s="31">
        <v>412</v>
      </c>
      <c r="H89" s="32">
        <f t="shared" si="43"/>
        <v>-1.4354066985645933E-2</v>
      </c>
      <c r="I89" s="97">
        <f>IF(ISNUMBER(G89), $B91 * H89, "")</f>
        <v>-4306.2200956937804</v>
      </c>
      <c r="J89" s="15">
        <v>410</v>
      </c>
      <c r="K89" s="32">
        <f t="shared" si="44"/>
        <v>-1.9138755980861243E-2</v>
      </c>
      <c r="L89" s="18">
        <f>IF(ISNUMBER(J89), $B91 * K89, "")</f>
        <v>-5741.6267942583727</v>
      </c>
      <c r="M89" s="31">
        <v>399</v>
      </c>
      <c r="N89" s="32">
        <f t="shared" si="45"/>
        <v>-4.5454545454545456E-2</v>
      </c>
      <c r="O89" s="18">
        <f>IF(ISNUMBER(M89), $B91 * N89, "")</f>
        <v>-13636.363636363636</v>
      </c>
      <c r="Q89" s="297"/>
      <c r="R89" s="298"/>
      <c r="S89" s="299"/>
    </row>
    <row r="90" spans="1:19" ht="17.25" thickBot="1">
      <c r="A90" s="129" t="s">
        <v>120</v>
      </c>
      <c r="B90" s="130">
        <v>230</v>
      </c>
      <c r="C90" s="75">
        <v>1.3215859E-2</v>
      </c>
      <c r="D90" s="24">
        <v>222</v>
      </c>
      <c r="E90" s="25">
        <f t="shared" si="42"/>
        <v>-3.4782608695652174E-2</v>
      </c>
      <c r="F90" s="100">
        <f>IF(ISNUMBER(D90), $B91 * E90, "")</f>
        <v>-10434.782608695652</v>
      </c>
      <c r="G90" s="98">
        <v>224</v>
      </c>
      <c r="H90" s="25">
        <f t="shared" si="43"/>
        <v>-2.6086956521739129E-2</v>
      </c>
      <c r="I90" s="99">
        <f>IF(ISNUMBER(G90), $B91 * H90, "")</f>
        <v>-7826.086956521739</v>
      </c>
      <c r="J90" s="24">
        <v>223</v>
      </c>
      <c r="K90" s="25">
        <f t="shared" si="44"/>
        <v>-3.0434782608695653E-2</v>
      </c>
      <c r="L90" s="100">
        <f>IF(ISNUMBER(J90), $B91 * K90, "")</f>
        <v>-9130.434782608696</v>
      </c>
      <c r="M90" s="98">
        <v>216</v>
      </c>
      <c r="N90" s="25">
        <f t="shared" si="45"/>
        <v>-6.0869565217391307E-2</v>
      </c>
      <c r="O90" s="100">
        <f>IF(ISNUMBER(M90), $B91 * N90, "")</f>
        <v>-18260.869565217392</v>
      </c>
      <c r="Q90" s="300"/>
      <c r="R90" s="301"/>
      <c r="S90" s="302"/>
    </row>
    <row r="91" spans="1:19" ht="17.25" thickBot="1">
      <c r="A91" s="131" t="s">
        <v>301</v>
      </c>
      <c r="B91" s="308">
        <f>$B$37</f>
        <v>300000</v>
      </c>
      <c r="C91" s="309"/>
      <c r="D91" s="26" t="s">
        <v>302</v>
      </c>
      <c r="E91" s="27">
        <f>IF(COUNT(E71:E90), SUM(E71:E90) / COUNT(E71:E90), 0)</f>
        <v>-2.0281545395642968E-2</v>
      </c>
      <c r="F91" s="28">
        <f>SUM(F71:F90)</f>
        <v>-121689.27237385782</v>
      </c>
      <c r="G91" s="26" t="s">
        <v>302</v>
      </c>
      <c r="H91" s="27">
        <f>IF(COUNT(H71:H90), SUM(H71:H90) / COUNT(H71:H90), 0)</f>
        <v>-2.3489809402885697E-3</v>
      </c>
      <c r="I91" s="28">
        <f>SUM(I71:I90)</f>
        <v>-14093.885641731413</v>
      </c>
      <c r="J91" s="26" t="s">
        <v>302</v>
      </c>
      <c r="K91" s="27">
        <f>IF(COUNT(K71:K90), SUM(K71:K90) / COUNT(K71:K90), 0)</f>
        <v>1.1046157556602802E-3</v>
      </c>
      <c r="L91" s="28">
        <f>SUM(L71:L90)</f>
        <v>6627.6945339616759</v>
      </c>
      <c r="M91" s="26" t="s">
        <v>302</v>
      </c>
      <c r="N91" s="27">
        <f>IF(COUNT(N71:N90), SUM(N71:N90) / COUNT(N71:N90), 0)</f>
        <v>-2.9721380922985652E-2</v>
      </c>
      <c r="O91" s="28">
        <f>SUM(O71:O90)</f>
        <v>-178328.28553791397</v>
      </c>
      <c r="Q91" s="303"/>
      <c r="R91" s="304"/>
      <c r="S91" s="305"/>
    </row>
    <row r="93" spans="1:19" ht="17.25" thickBot="1"/>
    <row r="94" spans="1:19" ht="17.25" thickBot="1">
      <c r="A94" s="249" t="s">
        <v>46</v>
      </c>
      <c r="B94" s="250"/>
      <c r="C94" s="250"/>
      <c r="D94" s="250"/>
      <c r="E94" s="250"/>
      <c r="F94" s="250"/>
      <c r="G94" s="250"/>
      <c r="H94" s="250"/>
      <c r="I94" s="250"/>
      <c r="J94" s="250"/>
      <c r="K94" s="250"/>
      <c r="L94" s="250"/>
      <c r="M94" s="250"/>
      <c r="N94" s="250"/>
      <c r="O94" s="251"/>
      <c r="Q94" s="270"/>
      <c r="R94" s="270"/>
      <c r="S94" s="270"/>
    </row>
    <row r="95" spans="1:19" ht="17.25" thickBot="1">
      <c r="A95" s="112" t="s">
        <v>298</v>
      </c>
      <c r="B95" s="249" t="s">
        <v>49</v>
      </c>
      <c r="C95" s="251"/>
      <c r="D95" s="249" t="s">
        <v>58</v>
      </c>
      <c r="E95" s="250"/>
      <c r="F95" s="251"/>
      <c r="G95" s="276">
        <f>_xlfn.IFNA(VLOOKUP(B95, 현재가테이블!$B$2:$D$200, 2, FALSE), "-")</f>
        <v>60874000</v>
      </c>
      <c r="H95" s="277"/>
      <c r="I95" s="278"/>
      <c r="J95" s="249" t="s">
        <v>59</v>
      </c>
      <c r="K95" s="250"/>
      <c r="L95" s="251"/>
      <c r="M95" s="279">
        <f>_xlfn.IFNA(VLOOKUP(B95, 현재가테이블!$B$2:$D$200, 3, FALSE), "-")</f>
        <v>-1.4936000099999999E-2</v>
      </c>
      <c r="N95" s="280"/>
      <c r="O95" s="281"/>
      <c r="Q95" s="270"/>
      <c r="R95" s="270"/>
      <c r="S95" s="270"/>
    </row>
    <row r="96" spans="1:19" ht="17.25" thickBot="1">
      <c r="A96" s="310" t="s">
        <v>55</v>
      </c>
      <c r="B96" s="312" t="str">
        <f>TEXT($G$1, "[$-ko-KR]yyyy-mm-dd(ddd) ") &amp; "오전 00:00"</f>
        <v>2021-05-04(화) 오전 00:00</v>
      </c>
      <c r="C96" s="313"/>
      <c r="D96" s="272" t="str">
        <f>TEXT($G$1, "[$-ko-KR]yyyy-mm-dd(ddd) ") &amp; "오후 14:00"</f>
        <v>2021-05-04(화) 오후 14:00</v>
      </c>
      <c r="E96" s="273"/>
      <c r="F96" s="274"/>
      <c r="G96" s="272" t="str">
        <f>TEXT($G$1, "[$-ko-KR]yyyy-mm-dd(ddd) ") &amp; "오후 19:00"</f>
        <v>2021-05-04(화) 오후 19:00</v>
      </c>
      <c r="H96" s="273"/>
      <c r="I96" s="274"/>
      <c r="J96" s="272" t="str">
        <f>TEXT($G$1, "[$-ko-KR]yyyy-mm-dd(ddd) ") &amp; "오후 21:00"</f>
        <v>2021-05-04(화) 오후 21:00</v>
      </c>
      <c r="K96" s="273"/>
      <c r="L96" s="274"/>
      <c r="M96" s="272" t="str">
        <f>TEXT($G$1+1, "[$-ko-KR]yyyy-mm-dd(ddd) ") &amp; "오전 00:00"</f>
        <v>2021-05-05(수) 오전 00:00</v>
      </c>
      <c r="N96" s="273"/>
      <c r="O96" s="274"/>
      <c r="Q96" s="270"/>
      <c r="R96" s="270"/>
      <c r="S96" s="270"/>
    </row>
    <row r="97" spans="1:19" ht="17.25" thickBot="1">
      <c r="A97" s="311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13" t="s">
        <v>58</v>
      </c>
      <c r="H97" s="114" t="s">
        <v>299</v>
      </c>
      <c r="I97" s="115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75"/>
      <c r="R97" s="275"/>
      <c r="S97" s="275"/>
    </row>
    <row r="98" spans="1:19" ht="17.25" thickBot="1">
      <c r="A98" s="122" t="s">
        <v>164</v>
      </c>
      <c r="B98" s="123">
        <v>40760</v>
      </c>
      <c r="C98" s="72">
        <v>0.41773913039999999</v>
      </c>
      <c r="D98" s="13">
        <v>49830</v>
      </c>
      <c r="E98" s="14">
        <f>IF(ISNUMBER(D98), (D98 - $B98) / $B98, "")</f>
        <v>0.22252208047105004</v>
      </c>
      <c r="F98" s="16">
        <f>IF(ISNUMBER(D98), $B118 * E98, "")</f>
        <v>66756.624141315013</v>
      </c>
      <c r="G98" s="29">
        <v>46430</v>
      </c>
      <c r="H98" s="14">
        <f>IF(ISNUMBER(G98), (G98 - $B98) / $B98, "")</f>
        <v>0.13910696761530914</v>
      </c>
      <c r="I98" s="96">
        <f>IF(ISNUMBER(G98), $B118 * H98, "")</f>
        <v>41732.090284592741</v>
      </c>
      <c r="J98" s="13">
        <v>46940</v>
      </c>
      <c r="K98" s="14">
        <f>IF(ISNUMBER(J98), (J98 - $B98) / $B98, "")</f>
        <v>0.15161923454367027</v>
      </c>
      <c r="L98" s="16">
        <f>IF(ISNUMBER(J98), $B118 * K98, "")</f>
        <v>45485.770363101081</v>
      </c>
      <c r="M98" s="29">
        <v>44090</v>
      </c>
      <c r="N98" s="14">
        <f>IF(ISNUMBER(M98), (M98 - $B98) / $B98, "")</f>
        <v>8.1697742885181557E-2</v>
      </c>
      <c r="O98" s="16">
        <f>IF(ISNUMBER(M98), $B118 * N98, "")</f>
        <v>24509.322865554466</v>
      </c>
      <c r="Q98" s="270"/>
      <c r="R98" s="270"/>
      <c r="S98" s="270"/>
    </row>
    <row r="99" spans="1:19" ht="17.25" thickBot="1">
      <c r="A99" s="124" t="s">
        <v>118</v>
      </c>
      <c r="B99" s="125">
        <v>7895</v>
      </c>
      <c r="C99" s="73">
        <v>0.14919941780000001</v>
      </c>
      <c r="D99" s="15">
        <v>8075</v>
      </c>
      <c r="E99" s="32">
        <f t="shared" ref="E99:E102" si="46">IF(ISNUMBER(D99), (D99 - $B99) / $B99, "")</f>
        <v>2.2799240025332488E-2</v>
      </c>
      <c r="F99" s="18">
        <f>IF(ISNUMBER(D99), $B118 * E99, "")</f>
        <v>6839.7720075997468</v>
      </c>
      <c r="G99" s="31">
        <v>7790</v>
      </c>
      <c r="H99" s="32">
        <f t="shared" ref="H99:H102" si="47">IF(ISNUMBER(G99), (G99 - $B99) / $B99, "")</f>
        <v>-1.3299556681443952E-2</v>
      </c>
      <c r="I99" s="97">
        <f>IF(ISNUMBER(G99), $B118 * H99, "")</f>
        <v>-3989.8670044331857</v>
      </c>
      <c r="J99" s="15">
        <v>7730</v>
      </c>
      <c r="K99" s="32">
        <f t="shared" ref="K99:K102" si="48">IF(ISNUMBER(J99), (J99 - $B99) / $B99, "")</f>
        <v>-2.089930335655478E-2</v>
      </c>
      <c r="L99" s="18">
        <f>IF(ISNUMBER(J99), $B118 * K99, "")</f>
        <v>-6269.791006966434</v>
      </c>
      <c r="M99" s="31">
        <v>7300</v>
      </c>
      <c r="N99" s="32">
        <f t="shared" ref="N99:N102" si="49">IF(ISNUMBER(M99), (M99 - $B99) / $B99, "")</f>
        <v>-7.5364154528182389E-2</v>
      </c>
      <c r="O99" s="18">
        <f>IF(ISNUMBER(M99), $B118 * N99, "")</f>
        <v>-22609.246358454719</v>
      </c>
      <c r="Q99" s="270"/>
      <c r="R99" s="270"/>
      <c r="S99" s="270"/>
    </row>
    <row r="100" spans="1:19" ht="17.25" thickBot="1">
      <c r="A100" s="124" t="s">
        <v>144</v>
      </c>
      <c r="B100" s="125">
        <v>10810</v>
      </c>
      <c r="C100" s="73">
        <v>0.14149947199999999</v>
      </c>
      <c r="D100" s="15">
        <v>11570</v>
      </c>
      <c r="E100" s="32">
        <f t="shared" si="46"/>
        <v>7.0305272895467161E-2</v>
      </c>
      <c r="F100" s="18">
        <f>IF(ISNUMBER(D100), $B118 * E100, "")</f>
        <v>21091.581868640147</v>
      </c>
      <c r="G100" s="31">
        <v>12210</v>
      </c>
      <c r="H100" s="32">
        <f t="shared" si="47"/>
        <v>0.12950971322849214</v>
      </c>
      <c r="I100" s="97">
        <f>IF(ISNUMBER(G100), $B118 * H100, "")</f>
        <v>38852.91396854764</v>
      </c>
      <c r="J100" s="15">
        <v>12040</v>
      </c>
      <c r="K100" s="32">
        <f t="shared" si="48"/>
        <v>0.11378353376503238</v>
      </c>
      <c r="L100" s="18">
        <f>IF(ISNUMBER(J100), $B118 * K100, "")</f>
        <v>34135.060129509715</v>
      </c>
      <c r="M100" s="31">
        <v>11590</v>
      </c>
      <c r="N100" s="32">
        <f t="shared" si="49"/>
        <v>7.2155411655874191E-2</v>
      </c>
      <c r="O100" s="18">
        <f>IF(ISNUMBER(M100), $B118 * N100, "")</f>
        <v>21646.623496762259</v>
      </c>
      <c r="Q100" s="275"/>
      <c r="R100" s="275"/>
      <c r="S100" s="275"/>
    </row>
    <row r="101" spans="1:19" ht="17.25" thickBot="1">
      <c r="A101" s="124" t="s">
        <v>69</v>
      </c>
      <c r="B101" s="125">
        <v>14580</v>
      </c>
      <c r="C101" s="73">
        <v>0.12586872590000001</v>
      </c>
      <c r="D101" s="15">
        <v>15660</v>
      </c>
      <c r="E101" s="32">
        <f t="shared" si="46"/>
        <v>7.407407407407407E-2</v>
      </c>
      <c r="F101" s="18">
        <f>IF(ISNUMBER(D101), $B118 * E101, "")</f>
        <v>22222.222222222223</v>
      </c>
      <c r="G101" s="31">
        <v>14930</v>
      </c>
      <c r="H101" s="32">
        <f t="shared" si="47"/>
        <v>2.4005486968449931E-2</v>
      </c>
      <c r="I101" s="97">
        <f>IF(ISNUMBER(G101), $B118 * H101, "")</f>
        <v>7201.6460905349795</v>
      </c>
      <c r="J101" s="15">
        <v>14770</v>
      </c>
      <c r="K101" s="32">
        <f t="shared" si="48"/>
        <v>1.3031550068587106E-2</v>
      </c>
      <c r="L101" s="18">
        <f>IF(ISNUMBER(J101), $B118 * K101, "")</f>
        <v>3909.4650205761318</v>
      </c>
      <c r="M101" s="31">
        <v>13820</v>
      </c>
      <c r="N101" s="32">
        <f t="shared" si="49"/>
        <v>-5.2126200274348423E-2</v>
      </c>
      <c r="O101" s="18">
        <f>IF(ISNUMBER(M101), $B118 * N101, "")</f>
        <v>-15637.860082304527</v>
      </c>
      <c r="Q101" s="275"/>
      <c r="R101" s="275"/>
      <c r="S101" s="275"/>
    </row>
    <row r="102" spans="1:19" ht="17.25" thickBot="1">
      <c r="A102" s="126" t="s">
        <v>268</v>
      </c>
      <c r="B102" s="127">
        <v>113</v>
      </c>
      <c r="C102" s="74">
        <v>0.1188118812</v>
      </c>
      <c r="D102" s="20">
        <v>107</v>
      </c>
      <c r="E102" s="21">
        <f t="shared" si="46"/>
        <v>-5.3097345132743362E-2</v>
      </c>
      <c r="F102" s="22">
        <f>IF(ISNUMBER(D102), $B118 * E102, "")</f>
        <v>-15929.203539823009</v>
      </c>
      <c r="G102" s="30">
        <v>107</v>
      </c>
      <c r="H102" s="21">
        <f t="shared" si="47"/>
        <v>-5.3097345132743362E-2</v>
      </c>
      <c r="I102" s="101">
        <f>IF(ISNUMBER(G102), $B118 * H102, "")</f>
        <v>-15929.203539823009</v>
      </c>
      <c r="J102" s="20">
        <v>111</v>
      </c>
      <c r="K102" s="21">
        <f t="shared" si="48"/>
        <v>-1.7699115044247787E-2</v>
      </c>
      <c r="L102" s="22">
        <f>IF(ISNUMBER(J102), $B118 * K102, "")</f>
        <v>-5309.7345132743358</v>
      </c>
      <c r="M102" s="30">
        <v>105</v>
      </c>
      <c r="N102" s="21">
        <f t="shared" si="49"/>
        <v>-7.0796460176991149E-2</v>
      </c>
      <c r="O102" s="22">
        <f>IF(ISNUMBER(M102), $B118 * N102, "")</f>
        <v>-21238.938053097343</v>
      </c>
      <c r="Q102" s="275"/>
      <c r="R102" s="275"/>
      <c r="S102" s="275"/>
    </row>
    <row r="103" spans="1:19" ht="17.25" thickBot="1">
      <c r="A103" s="124" t="s">
        <v>180</v>
      </c>
      <c r="B103" s="128">
        <v>5385</v>
      </c>
      <c r="C103" s="76">
        <v>0.10574948670000001</v>
      </c>
      <c r="D103" s="102">
        <v>5260</v>
      </c>
      <c r="E103" s="103">
        <f>IF(ISNUMBER(D103), (D103 - $B103) / $B103, "")</f>
        <v>-2.3212627669452181E-2</v>
      </c>
      <c r="F103" s="104">
        <f>IF(ISNUMBER(D103), $B118 * E103, "")</f>
        <v>-6963.7883008356539</v>
      </c>
      <c r="G103" s="105">
        <v>5190</v>
      </c>
      <c r="H103" s="103">
        <f>IF(ISNUMBER(G103), (G103 - $B103) / $B103, "")</f>
        <v>-3.6211699164345405E-2</v>
      </c>
      <c r="I103" s="106">
        <f>IF(ISNUMBER(G103), $B118 * H103, "")</f>
        <v>-10863.509749303621</v>
      </c>
      <c r="J103" s="102">
        <v>5120</v>
      </c>
      <c r="K103" s="103">
        <f>IF(ISNUMBER(J103), (J103 - $B103) / $B103, "")</f>
        <v>-4.9210770659238623E-2</v>
      </c>
      <c r="L103" s="104">
        <f>IF(ISNUMBER(J103), $B118 * K103, "")</f>
        <v>-14763.231197771587</v>
      </c>
      <c r="M103" s="105">
        <v>4855</v>
      </c>
      <c r="N103" s="103">
        <f>IF(ISNUMBER(M103), (M103 - $B103) / $B103, "")</f>
        <v>-9.8421541318477246E-2</v>
      </c>
      <c r="O103" s="104">
        <f>IF(ISNUMBER(M103), $B118 * N103, "")</f>
        <v>-29526.462395543174</v>
      </c>
      <c r="Q103" s="275"/>
      <c r="R103" s="275"/>
      <c r="S103" s="275"/>
    </row>
    <row r="104" spans="1:19" ht="17.25" thickBot="1">
      <c r="A104" s="124" t="s">
        <v>136</v>
      </c>
      <c r="B104" s="125">
        <v>269</v>
      </c>
      <c r="C104" s="73">
        <v>9.3495935000000002E-2</v>
      </c>
      <c r="D104" s="15">
        <v>251</v>
      </c>
      <c r="E104" s="32">
        <f t="shared" ref="E104:E107" si="50">IF(ISNUMBER(D104), (D104 - $B104) / $B104, "")</f>
        <v>-6.6914498141263934E-2</v>
      </c>
      <c r="F104" s="18">
        <f>IF(ISNUMBER(D104), $B118 * E104, "")</f>
        <v>-20074.349442379182</v>
      </c>
      <c r="G104" s="31">
        <v>253</v>
      </c>
      <c r="H104" s="32">
        <f t="shared" ref="H104:H107" si="51">IF(ISNUMBER(G104), (G104 - $B104) / $B104, "")</f>
        <v>-5.9479553903345722E-2</v>
      </c>
      <c r="I104" s="97">
        <f>IF(ISNUMBER(G104), $B118 * H104, "")</f>
        <v>-17843.866171003716</v>
      </c>
      <c r="J104" s="15">
        <v>260</v>
      </c>
      <c r="K104" s="32">
        <f t="shared" ref="K104:K107" si="52">IF(ISNUMBER(J104), (J104 - $B104) / $B104, "")</f>
        <v>-3.3457249070631967E-2</v>
      </c>
      <c r="L104" s="18">
        <f>IF(ISNUMBER(J104), $B118 * K104, "")</f>
        <v>-10037.174721189591</v>
      </c>
      <c r="M104" s="31">
        <v>254</v>
      </c>
      <c r="N104" s="32">
        <f t="shared" ref="N104:N107" si="53">IF(ISNUMBER(M104), (M104 - $B104) / $B104, "")</f>
        <v>-5.5762081784386616E-2</v>
      </c>
      <c r="O104" s="18">
        <f>IF(ISNUMBER(M104), $B118 * N104, "")</f>
        <v>-16728.624535315987</v>
      </c>
      <c r="Q104" s="275"/>
      <c r="R104" s="275"/>
      <c r="S104" s="275"/>
    </row>
    <row r="105" spans="1:19" ht="17.25" thickBot="1">
      <c r="A105" s="124" t="s">
        <v>102</v>
      </c>
      <c r="B105" s="125">
        <v>58980</v>
      </c>
      <c r="C105" s="73">
        <v>8.4589922799999995E-2</v>
      </c>
      <c r="D105" s="15">
        <v>65920</v>
      </c>
      <c r="E105" s="32">
        <f t="shared" si="50"/>
        <v>0.11766700576466599</v>
      </c>
      <c r="F105" s="18">
        <f>IF(ISNUMBER(D105), $B118 * E105, "")</f>
        <v>35300.101729399794</v>
      </c>
      <c r="G105" s="31">
        <v>66270</v>
      </c>
      <c r="H105" s="32">
        <f t="shared" si="51"/>
        <v>0.12360122075279756</v>
      </c>
      <c r="I105" s="97">
        <f>IF(ISNUMBER(G105), $B118 * H105, "")</f>
        <v>37080.366225839265</v>
      </c>
      <c r="J105" s="15">
        <v>69060</v>
      </c>
      <c r="K105" s="32">
        <f t="shared" si="52"/>
        <v>0.17090539165818922</v>
      </c>
      <c r="L105" s="18">
        <f>IF(ISNUMBER(J105), $B118 * K105, "")</f>
        <v>51271.617497456762</v>
      </c>
      <c r="M105" s="31">
        <v>75100</v>
      </c>
      <c r="N105" s="32">
        <f t="shared" si="53"/>
        <v>0.27331298745337401</v>
      </c>
      <c r="O105" s="18">
        <f>IF(ISNUMBER(M105), $B118 * N105, "")</f>
        <v>81993.89623601221</v>
      </c>
      <c r="Q105" s="275"/>
      <c r="R105" s="275"/>
      <c r="S105" s="275"/>
    </row>
    <row r="106" spans="1:19" ht="17.25" thickBot="1">
      <c r="A106" s="124" t="s">
        <v>242</v>
      </c>
      <c r="B106" s="125">
        <v>7345</v>
      </c>
      <c r="C106" s="73">
        <v>7.9353416600000004E-2</v>
      </c>
      <c r="D106" s="15">
        <v>7510</v>
      </c>
      <c r="E106" s="32">
        <f t="shared" si="50"/>
        <v>2.24642614023145E-2</v>
      </c>
      <c r="F106" s="18">
        <f>IF(ISNUMBER(D106), $B118 * E106, "")</f>
        <v>6739.2784206943497</v>
      </c>
      <c r="G106" s="31">
        <v>7615</v>
      </c>
      <c r="H106" s="32">
        <f t="shared" si="51"/>
        <v>3.6759700476514633E-2</v>
      </c>
      <c r="I106" s="97">
        <f>IF(ISNUMBER(G106), $B118 * H106, "")</f>
        <v>11027.91014295439</v>
      </c>
      <c r="J106" s="15">
        <v>7710</v>
      </c>
      <c r="K106" s="32">
        <f t="shared" si="52"/>
        <v>4.9693669162695714E-2</v>
      </c>
      <c r="L106" s="18">
        <f>IF(ISNUMBER(J106), $B118 * K106, "")</f>
        <v>14908.100748808714</v>
      </c>
      <c r="M106" s="31">
        <v>7190</v>
      </c>
      <c r="N106" s="32">
        <f t="shared" si="53"/>
        <v>-2.1102791014295439E-2</v>
      </c>
      <c r="O106" s="18">
        <f>IF(ISNUMBER(M106), $B118 * N106, "")</f>
        <v>-6330.8373042886315</v>
      </c>
      <c r="Q106" s="33"/>
      <c r="R106" s="33"/>
    </row>
    <row r="107" spans="1:19" ht="17.25" thickBot="1">
      <c r="A107" s="129" t="s">
        <v>142</v>
      </c>
      <c r="B107" s="130">
        <v>466</v>
      </c>
      <c r="C107" s="75">
        <v>7.8703703700000002E-2</v>
      </c>
      <c r="D107" s="24">
        <v>443</v>
      </c>
      <c r="E107" s="25">
        <f t="shared" si="50"/>
        <v>-4.9356223175965663E-2</v>
      </c>
      <c r="F107" s="100">
        <f>IF(ISNUMBER(D107), $B118 * E107, "")</f>
        <v>-14806.866952789698</v>
      </c>
      <c r="G107" s="98">
        <v>447</v>
      </c>
      <c r="H107" s="25">
        <f t="shared" si="51"/>
        <v>-4.07725321888412E-2</v>
      </c>
      <c r="I107" s="99">
        <f>IF(ISNUMBER(G107), $B118 * H107, "")</f>
        <v>-12231.759656652361</v>
      </c>
      <c r="J107" s="24">
        <v>443</v>
      </c>
      <c r="K107" s="25">
        <f t="shared" si="52"/>
        <v>-4.9356223175965663E-2</v>
      </c>
      <c r="L107" s="100">
        <f>IF(ISNUMBER(J107), $B118 * K107, "")</f>
        <v>-14806.866952789698</v>
      </c>
      <c r="M107" s="98">
        <v>422</v>
      </c>
      <c r="N107" s="25">
        <f t="shared" si="53"/>
        <v>-9.4420600858369105E-2</v>
      </c>
      <c r="O107" s="100">
        <f>IF(ISNUMBER(M107), $B118 * N107, "")</f>
        <v>-28326.180257510732</v>
      </c>
      <c r="Q107" s="284"/>
      <c r="R107" s="285"/>
      <c r="S107" s="286"/>
    </row>
    <row r="108" spans="1:19">
      <c r="A108" s="122" t="s">
        <v>194</v>
      </c>
      <c r="B108" s="123">
        <v>16200</v>
      </c>
      <c r="C108" s="72">
        <v>7.85619174E-2</v>
      </c>
      <c r="D108" s="13">
        <v>16040</v>
      </c>
      <c r="E108" s="14">
        <f>IF(ISNUMBER(D108), (D108 - $B108) / $B108, "")</f>
        <v>-9.876543209876543E-3</v>
      </c>
      <c r="F108" s="16">
        <f>IF(ISNUMBER(D108), $B118 * E108, "")</f>
        <v>-2962.962962962963</v>
      </c>
      <c r="G108" s="29">
        <v>15700</v>
      </c>
      <c r="H108" s="14">
        <f>IF(ISNUMBER(G108), (G108 - $B108) / $B108, "")</f>
        <v>-3.0864197530864196E-2</v>
      </c>
      <c r="I108" s="96">
        <f>IF(ISNUMBER(G108), $B118 * H108, "")</f>
        <v>-9259.2592592592591</v>
      </c>
      <c r="J108" s="13">
        <v>15670</v>
      </c>
      <c r="K108" s="14">
        <f>IF(ISNUMBER(J108), (J108 - $B108) / $B108, "")</f>
        <v>-3.271604938271605E-2</v>
      </c>
      <c r="L108" s="16">
        <f>IF(ISNUMBER(J108), $B118 * K108, "")</f>
        <v>-9814.8148148148157</v>
      </c>
      <c r="M108" s="29">
        <v>15090</v>
      </c>
      <c r="N108" s="14">
        <f>IF(ISNUMBER(M108), (M108 - $B108) / $B108, "")</f>
        <v>-6.851851851851852E-2</v>
      </c>
      <c r="O108" s="16">
        <f>IF(ISNUMBER(M108), $B118 * N108, "")</f>
        <v>-20555.555555555555</v>
      </c>
      <c r="Q108" s="287"/>
      <c r="R108" s="288"/>
      <c r="S108" s="289"/>
    </row>
    <row r="109" spans="1:19" ht="17.25" thickBot="1">
      <c r="A109" s="124" t="s">
        <v>116</v>
      </c>
      <c r="B109" s="125">
        <v>755</v>
      </c>
      <c r="C109" s="73">
        <v>7.2443181800000006E-2</v>
      </c>
      <c r="D109" s="15">
        <v>851</v>
      </c>
      <c r="E109" s="32">
        <f t="shared" ref="E109:E112" si="54">IF(ISNUMBER(D109), (D109 - $B109) / $B109, "")</f>
        <v>0.1271523178807947</v>
      </c>
      <c r="F109" s="18">
        <f>IF(ISNUMBER(D109), $B118 * E109, "")</f>
        <v>38145.695364238411</v>
      </c>
      <c r="G109" s="31">
        <v>856</v>
      </c>
      <c r="H109" s="32">
        <f t="shared" ref="H109:H112" si="55">IF(ISNUMBER(G109), (G109 - $B109) / $B109, "")</f>
        <v>0.1337748344370861</v>
      </c>
      <c r="I109" s="97">
        <f>IF(ISNUMBER(G109), $B118 * H109, "")</f>
        <v>40132.45033112583</v>
      </c>
      <c r="J109" s="15">
        <v>835</v>
      </c>
      <c r="K109" s="32">
        <f t="shared" ref="K109:K112" si="56">IF(ISNUMBER(J109), (J109 - $B109) / $B109, "")</f>
        <v>0.10596026490066225</v>
      </c>
      <c r="L109" s="18">
        <f>IF(ISNUMBER(J109), $B118 * K109, "")</f>
        <v>31788.079470198674</v>
      </c>
      <c r="M109" s="31">
        <v>780</v>
      </c>
      <c r="N109" s="32">
        <f t="shared" ref="N109:N112" si="57">IF(ISNUMBER(M109), (M109 - $B109) / $B109, "")</f>
        <v>3.3112582781456956E-2</v>
      </c>
      <c r="O109" s="18">
        <f>IF(ISNUMBER(M109), $B118 * N109, "")</f>
        <v>9933.7748344370866</v>
      </c>
      <c r="Q109" s="290"/>
      <c r="R109" s="291"/>
      <c r="S109" s="292"/>
    </row>
    <row r="110" spans="1:19" ht="17.25" thickBot="1">
      <c r="A110" s="124" t="s">
        <v>96</v>
      </c>
      <c r="B110" s="125">
        <v>3820000</v>
      </c>
      <c r="C110" s="73">
        <v>7.2130227300000002E-2</v>
      </c>
      <c r="D110" s="15">
        <v>4163000</v>
      </c>
      <c r="E110" s="32">
        <f t="shared" si="54"/>
        <v>8.9790575916230367E-2</v>
      </c>
      <c r="F110" s="18">
        <f>IF(ISNUMBER(D110), $B118 * E110, "")</f>
        <v>26937.172774869108</v>
      </c>
      <c r="G110" s="31">
        <v>4191000</v>
      </c>
      <c r="H110" s="32">
        <f t="shared" si="55"/>
        <v>9.7120418848167536E-2</v>
      </c>
      <c r="I110" s="97">
        <f>IF(ISNUMBER(G110), $B118 * H110, "")</f>
        <v>29136.125654450261</v>
      </c>
      <c r="J110" s="15">
        <v>4303000</v>
      </c>
      <c r="K110" s="32">
        <f t="shared" si="56"/>
        <v>0.12643979057591623</v>
      </c>
      <c r="L110" s="18">
        <f>IF(ISNUMBER(J110), $B118 * K110, "")</f>
        <v>37931.937172774866</v>
      </c>
      <c r="M110" s="31">
        <v>4211000</v>
      </c>
      <c r="N110" s="32">
        <f t="shared" si="57"/>
        <v>0.10235602094240838</v>
      </c>
      <c r="O110" s="18">
        <f>IF(ISNUMBER(M110), $B118 * N110, "")</f>
        <v>30706.806282722515</v>
      </c>
      <c r="Q110" s="275"/>
      <c r="R110" s="275"/>
      <c r="S110" s="275"/>
    </row>
    <row r="111" spans="1:19" ht="17.25" thickBot="1">
      <c r="A111" s="124" t="s">
        <v>276</v>
      </c>
      <c r="B111" s="125">
        <v>4540</v>
      </c>
      <c r="C111" s="73">
        <v>6.9493521799999999E-2</v>
      </c>
      <c r="D111" s="15">
        <v>4685</v>
      </c>
      <c r="E111" s="32">
        <f t="shared" si="54"/>
        <v>3.1938325991189426E-2</v>
      </c>
      <c r="F111" s="18">
        <f>IF(ISNUMBER(D111), $B118 * E111, "")</f>
        <v>9581.4977973568275</v>
      </c>
      <c r="G111" s="31">
        <v>4705</v>
      </c>
      <c r="H111" s="32">
        <f t="shared" si="55"/>
        <v>3.634361233480176E-2</v>
      </c>
      <c r="I111" s="97">
        <f>IF(ISNUMBER(G111), $B118 * H111, "")</f>
        <v>10903.083700440528</v>
      </c>
      <c r="J111" s="15">
        <v>4765</v>
      </c>
      <c r="K111" s="32">
        <f t="shared" si="56"/>
        <v>4.9559471365638763E-2</v>
      </c>
      <c r="L111" s="18">
        <f>IF(ISNUMBER(J111), $B118 * K111, "")</f>
        <v>14867.841409691629</v>
      </c>
      <c r="M111" s="31">
        <v>4535</v>
      </c>
      <c r="N111" s="32">
        <f t="shared" si="57"/>
        <v>-1.1013215859030838E-3</v>
      </c>
      <c r="O111" s="18">
        <f>IF(ISNUMBER(M111), $B118 * N111, "")</f>
        <v>-330.39647577092512</v>
      </c>
      <c r="Q111" s="270"/>
      <c r="R111" s="270"/>
      <c r="S111" s="270"/>
    </row>
    <row r="112" spans="1:19" ht="17.25" thickBot="1">
      <c r="A112" s="126" t="s">
        <v>114</v>
      </c>
      <c r="B112" s="127">
        <v>14080</v>
      </c>
      <c r="C112" s="74">
        <v>6.4247921400000005E-2</v>
      </c>
      <c r="D112" s="20">
        <v>13730</v>
      </c>
      <c r="E112" s="21">
        <f t="shared" si="54"/>
        <v>-2.4857954545454544E-2</v>
      </c>
      <c r="F112" s="22">
        <f>IF(ISNUMBER(D112), $B118 * E112, "")</f>
        <v>-7457.3863636363631</v>
      </c>
      <c r="G112" s="30">
        <v>13840</v>
      </c>
      <c r="H112" s="21">
        <f t="shared" si="55"/>
        <v>-1.7045454545454544E-2</v>
      </c>
      <c r="I112" s="101">
        <f>IF(ISNUMBER(G112), $B118 * H112, "")</f>
        <v>-5113.6363636363631</v>
      </c>
      <c r="J112" s="20">
        <v>13660</v>
      </c>
      <c r="K112" s="21">
        <f t="shared" si="56"/>
        <v>-2.9829545454545456E-2</v>
      </c>
      <c r="L112" s="22">
        <f>IF(ISNUMBER(J112), $B118 * K112, "")</f>
        <v>-8948.863636363636</v>
      </c>
      <c r="M112" s="30">
        <v>13280</v>
      </c>
      <c r="N112" s="21">
        <f t="shared" si="57"/>
        <v>-5.6818181818181816E-2</v>
      </c>
      <c r="O112" s="22">
        <f>IF(ISNUMBER(M112), $B118 * N112, "")</f>
        <v>-17045.454545454544</v>
      </c>
      <c r="Q112" s="270"/>
      <c r="R112" s="270"/>
      <c r="S112" s="270"/>
    </row>
    <row r="113" spans="1:19" ht="17.25" thickBot="1">
      <c r="A113" s="124" t="s">
        <v>220</v>
      </c>
      <c r="B113" s="128">
        <v>23.9</v>
      </c>
      <c r="C113" s="76">
        <v>5.75221239E-2</v>
      </c>
      <c r="D113" s="102">
        <v>23.8</v>
      </c>
      <c r="E113" s="103">
        <f>IF(ISNUMBER(D113), (D113 - $B113) / $B113, "")</f>
        <v>-4.184100418409953E-3</v>
      </c>
      <c r="F113" s="104">
        <f>IF(ISNUMBER(D113), $B118 * E113, "")</f>
        <v>-1255.2301255229859</v>
      </c>
      <c r="G113" s="105">
        <v>24.3</v>
      </c>
      <c r="H113" s="103">
        <f>IF(ISNUMBER(G113), (G113 - $B113) / $B113, "")</f>
        <v>1.6736401673640256E-2</v>
      </c>
      <c r="I113" s="106">
        <f>IF(ISNUMBER(G113), $B118 * H113, "")</f>
        <v>5020.9205020920772</v>
      </c>
      <c r="J113" s="102">
        <v>24.5</v>
      </c>
      <c r="K113" s="103">
        <f>IF(ISNUMBER(J113), (J113 - $B113) / $B113, "")</f>
        <v>2.5104602510460313E-2</v>
      </c>
      <c r="L113" s="104">
        <f>IF(ISNUMBER(J113), $B118 * K113, "")</f>
        <v>7531.3807531380935</v>
      </c>
      <c r="M113" s="105">
        <v>23.5</v>
      </c>
      <c r="N113" s="103">
        <f>IF(ISNUMBER(M113), (M113 - $B113) / $B113, "")</f>
        <v>-1.673640167364011E-2</v>
      </c>
      <c r="O113" s="104">
        <f>IF(ISNUMBER(M113), $B118 * N113, "")</f>
        <v>-5020.9205020920335</v>
      </c>
      <c r="Q113" s="275"/>
      <c r="R113" s="275"/>
      <c r="S113" s="275"/>
    </row>
    <row r="114" spans="1:19" ht="17.25" thickBot="1">
      <c r="A114" s="124" t="s">
        <v>296</v>
      </c>
      <c r="B114" s="125">
        <v>479</v>
      </c>
      <c r="C114" s="73">
        <v>5.7395143500000002E-2</v>
      </c>
      <c r="D114" s="15">
        <v>540</v>
      </c>
      <c r="E114" s="32">
        <f t="shared" ref="E114:E117" si="58">IF(ISNUMBER(D114), (D114 - $B114) / $B114, "")</f>
        <v>0.12734864300626306</v>
      </c>
      <c r="F114" s="18">
        <f>IF(ISNUMBER(D114), $B118 * E114, "")</f>
        <v>38204.592901878917</v>
      </c>
      <c r="G114" s="31">
        <v>601</v>
      </c>
      <c r="H114" s="32">
        <f t="shared" ref="H114:H117" si="59">IF(ISNUMBER(G114), (G114 - $B114) / $B114, "")</f>
        <v>0.25469728601252611</v>
      </c>
      <c r="I114" s="97">
        <f>IF(ISNUMBER(G114), $B118 * H114, "")</f>
        <v>76409.185803757835</v>
      </c>
      <c r="J114" s="15">
        <v>617</v>
      </c>
      <c r="K114" s="32">
        <f t="shared" ref="K114:K117" si="60">IF(ISNUMBER(J114), (J114 - $B114) / $B114, "")</f>
        <v>0.2881002087682672</v>
      </c>
      <c r="L114" s="18">
        <f>IF(ISNUMBER(J114), $B118 * K114, "")</f>
        <v>86430.062630480155</v>
      </c>
      <c r="M114" s="31">
        <v>664</v>
      </c>
      <c r="N114" s="32">
        <f t="shared" ref="N114:N117" si="61">IF(ISNUMBER(M114), (M114 - $B114) / $B114, "")</f>
        <v>0.38622129436325681</v>
      </c>
      <c r="O114" s="18">
        <f>IF(ISNUMBER(M114), $B118 * N114, "")</f>
        <v>115866.38830897704</v>
      </c>
      <c r="Q114" s="275"/>
      <c r="R114" s="275"/>
      <c r="S114" s="275"/>
    </row>
    <row r="115" spans="1:19" ht="17.25" thickBot="1">
      <c r="A115" s="124" t="s">
        <v>178</v>
      </c>
      <c r="B115" s="125">
        <v>52480</v>
      </c>
      <c r="C115" s="73">
        <v>5.6573384300000001E-2</v>
      </c>
      <c r="D115" s="15">
        <v>53250</v>
      </c>
      <c r="E115" s="32">
        <f t="shared" si="58"/>
        <v>1.4672256097560975E-2</v>
      </c>
      <c r="F115" s="18">
        <f>IF(ISNUMBER(D115), $B118 * E115, "")</f>
        <v>4401.6768292682927</v>
      </c>
      <c r="G115" s="31">
        <v>52820</v>
      </c>
      <c r="H115" s="32">
        <f t="shared" si="59"/>
        <v>6.4786585365853655E-3</v>
      </c>
      <c r="I115" s="97">
        <f>IF(ISNUMBER(G115), $B118 * H115, "")</f>
        <v>1943.5975609756097</v>
      </c>
      <c r="J115" s="15">
        <v>53090</v>
      </c>
      <c r="K115" s="32">
        <f t="shared" si="60"/>
        <v>1.1623475609756097E-2</v>
      </c>
      <c r="L115" s="18">
        <f>IF(ISNUMBER(J115), $B118 * K115, "")</f>
        <v>3487.0426829268295</v>
      </c>
      <c r="M115" s="31">
        <v>50580</v>
      </c>
      <c r="N115" s="32">
        <f t="shared" si="61"/>
        <v>-3.6204268292682924E-2</v>
      </c>
      <c r="O115" s="18">
        <f>IF(ISNUMBER(M115), $B118 * N115, "")</f>
        <v>-10861.280487804877</v>
      </c>
      <c r="Q115" s="275"/>
      <c r="R115" s="275"/>
      <c r="S115" s="275"/>
    </row>
    <row r="116" spans="1:19">
      <c r="A116" s="124" t="s">
        <v>128</v>
      </c>
      <c r="B116" s="125">
        <v>724</v>
      </c>
      <c r="C116" s="73">
        <v>5.5393586000000002E-2</v>
      </c>
      <c r="D116" s="15">
        <v>717</v>
      </c>
      <c r="E116" s="32">
        <f t="shared" si="58"/>
        <v>-9.6685082872928173E-3</v>
      </c>
      <c r="F116" s="18">
        <f>IF(ISNUMBER(D116), $B118 * E116, "")</f>
        <v>-2900.5524861878453</v>
      </c>
      <c r="G116" s="31">
        <v>703</v>
      </c>
      <c r="H116" s="32">
        <f t="shared" si="59"/>
        <v>-2.9005524861878452E-2</v>
      </c>
      <c r="I116" s="97">
        <f>IF(ISNUMBER(G116), $B118 * H116, "")</f>
        <v>-8701.6574585635353</v>
      </c>
      <c r="J116" s="15">
        <v>704</v>
      </c>
      <c r="K116" s="32">
        <f t="shared" si="60"/>
        <v>-2.7624309392265192E-2</v>
      </c>
      <c r="L116" s="18">
        <f>IF(ISNUMBER(J116), $B118 * K116, "")</f>
        <v>-8287.2928176795576</v>
      </c>
      <c r="M116" s="31">
        <v>677</v>
      </c>
      <c r="N116" s="32">
        <f t="shared" si="61"/>
        <v>-6.4917127071823205E-2</v>
      </c>
      <c r="O116" s="18">
        <f>IF(ISNUMBER(M116), $B118 * N116, "")</f>
        <v>-19475.138121546963</v>
      </c>
      <c r="Q116" s="297"/>
      <c r="R116" s="298"/>
      <c r="S116" s="299"/>
    </row>
    <row r="117" spans="1:19" ht="17.25" thickBot="1">
      <c r="A117" s="129" t="s">
        <v>154</v>
      </c>
      <c r="B117" s="130">
        <v>24</v>
      </c>
      <c r="C117" s="75">
        <v>5.2631578900000003E-2</v>
      </c>
      <c r="D117" s="24">
        <v>24.2</v>
      </c>
      <c r="E117" s="25">
        <f t="shared" si="58"/>
        <v>8.3333333333333037E-3</v>
      </c>
      <c r="F117" s="100">
        <f>IF(ISNUMBER(D117), $B118 * E117, "")</f>
        <v>2499.9999999999909</v>
      </c>
      <c r="G117" s="98">
        <v>23.9</v>
      </c>
      <c r="H117" s="25">
        <f t="shared" si="59"/>
        <v>-4.1666666666667256E-3</v>
      </c>
      <c r="I117" s="99">
        <f>IF(ISNUMBER(G117), $B118 * H117, "")</f>
        <v>-1250.0000000000177</v>
      </c>
      <c r="J117" s="24">
        <v>24.5</v>
      </c>
      <c r="K117" s="25">
        <f t="shared" si="60"/>
        <v>2.0833333333333332E-2</v>
      </c>
      <c r="L117" s="100">
        <f>IF(ISNUMBER(J117), $B118 * K117, "")</f>
        <v>6250</v>
      </c>
      <c r="M117" s="98">
        <v>22.9</v>
      </c>
      <c r="N117" s="25">
        <f t="shared" si="61"/>
        <v>-4.5833333333333393E-2</v>
      </c>
      <c r="O117" s="100">
        <f>IF(ISNUMBER(M117), $B118 * N117, "")</f>
        <v>-13750.000000000018</v>
      </c>
      <c r="Q117" s="300"/>
      <c r="R117" s="301"/>
      <c r="S117" s="302"/>
    </row>
    <row r="118" spans="1:19" ht="17.25" thickBot="1">
      <c r="A118" s="131" t="s">
        <v>301</v>
      </c>
      <c r="B118" s="308">
        <f>$B$37</f>
        <v>300000</v>
      </c>
      <c r="C118" s="309"/>
      <c r="D118" s="26" t="s">
        <v>302</v>
      </c>
      <c r="E118" s="27">
        <f>IF(COUNT(E98:E117), SUM(E98:E117) / COUNT(E98:E117), 0)</f>
        <v>3.4394979313890843E-2</v>
      </c>
      <c r="F118" s="28">
        <f>SUM(F98:F117)</f>
        <v>206369.87588334508</v>
      </c>
      <c r="G118" s="26" t="s">
        <v>302</v>
      </c>
      <c r="H118" s="27">
        <f>IF(COUNT(H98:H117), SUM(H98:H117) / COUNT(H98:H117), 0)</f>
        <v>3.5709588510439344E-2</v>
      </c>
      <c r="I118" s="28">
        <f>SUM(I98:I117)</f>
        <v>214257.53106263612</v>
      </c>
      <c r="J118" s="26" t="s">
        <v>302</v>
      </c>
      <c r="K118" s="27">
        <f>IF(COUNT(K98:K117), SUM(K98:K117) / COUNT(K98:K117), 0)</f>
        <v>4.3293098036302172E-2</v>
      </c>
      <c r="L118" s="28">
        <f>SUM(L98:L117)</f>
        <v>259758.58821781303</v>
      </c>
      <c r="M118" s="26" t="s">
        <v>302</v>
      </c>
      <c r="N118" s="27">
        <f>IF(COUNT(N98:N117), SUM(N98:N117) / COUNT(N98:N117), 0)</f>
        <v>9.5366528916209243E-3</v>
      </c>
      <c r="O118" s="28">
        <f>SUM(O98:O117)</f>
        <v>57219.917349725554</v>
      </c>
      <c r="Q118" s="303"/>
      <c r="R118" s="304"/>
      <c r="S118" s="305"/>
    </row>
    <row r="120" spans="1:19" ht="17.25" thickBot="1"/>
    <row r="121" spans="1:19" ht="17.25" thickBot="1">
      <c r="A121" s="249" t="s">
        <v>288</v>
      </c>
      <c r="B121" s="250"/>
      <c r="C121" s="250"/>
      <c r="D121" s="250"/>
      <c r="E121" s="250"/>
      <c r="F121" s="250"/>
      <c r="G121" s="250"/>
      <c r="H121" s="250"/>
      <c r="I121" s="250"/>
      <c r="J121" s="250"/>
      <c r="K121" s="250"/>
      <c r="L121" s="250"/>
      <c r="M121" s="250"/>
      <c r="N121" s="250"/>
      <c r="O121" s="251"/>
      <c r="Q121" s="270"/>
      <c r="R121" s="270"/>
      <c r="S121" s="270"/>
    </row>
    <row r="122" spans="1:19" ht="17.25" thickBot="1">
      <c r="A122" s="112" t="s">
        <v>298</v>
      </c>
      <c r="B122" s="249" t="s">
        <v>49</v>
      </c>
      <c r="C122" s="251"/>
      <c r="D122" s="249" t="s">
        <v>58</v>
      </c>
      <c r="E122" s="250"/>
      <c r="F122" s="251"/>
      <c r="G122" s="276">
        <f>_xlfn.IFNA(VLOOKUP(B122, 현재가테이블!$B$2:$D$200, 2, FALSE), "-")</f>
        <v>60874000</v>
      </c>
      <c r="H122" s="277"/>
      <c r="I122" s="278"/>
      <c r="J122" s="249" t="s">
        <v>59</v>
      </c>
      <c r="K122" s="250"/>
      <c r="L122" s="251"/>
      <c r="M122" s="279">
        <f>_xlfn.IFNA(VLOOKUP(B122, 현재가테이블!$B$2:$D$200, 3, FALSE), "-")</f>
        <v>-1.4936000099999999E-2</v>
      </c>
      <c r="N122" s="280"/>
      <c r="O122" s="281"/>
      <c r="Q122" s="270"/>
      <c r="R122" s="270"/>
      <c r="S122" s="270"/>
    </row>
    <row r="123" spans="1:19" ht="17.25" thickBot="1">
      <c r="A123" s="310" t="s">
        <v>55</v>
      </c>
      <c r="B123" s="312" t="str">
        <f>TEXT($G$1, "[$-ko-KR]yyyy-mm-dd(ddd) ") &amp; "오전 00:00"</f>
        <v>2021-05-04(화) 오전 00:00</v>
      </c>
      <c r="C123" s="313"/>
      <c r="D123" s="272" t="str">
        <f>TEXT($G$1, "[$-ko-KR]yyyy-mm-dd(ddd) ") &amp; "오후 14:00"</f>
        <v>2021-05-04(화) 오후 14:00</v>
      </c>
      <c r="E123" s="273"/>
      <c r="F123" s="274"/>
      <c r="G123" s="272" t="str">
        <f>TEXT($G$1, "[$-ko-KR]yyyy-mm-dd(ddd) ") &amp; "오후 19:00"</f>
        <v>2021-05-04(화) 오후 19:00</v>
      </c>
      <c r="H123" s="273"/>
      <c r="I123" s="274"/>
      <c r="J123" s="272" t="str">
        <f>TEXT($G$1, "[$-ko-KR]yyyy-mm-dd(ddd) ") &amp; "오후 21:00"</f>
        <v>2021-05-04(화) 오후 21:00</v>
      </c>
      <c r="K123" s="273"/>
      <c r="L123" s="274"/>
      <c r="M123" s="272" t="str">
        <f>TEXT($G$1+1, "[$-ko-KR]yyyy-mm-dd(ddd) ") &amp; "오전 00:00"</f>
        <v>2021-05-05(수) 오전 00:00</v>
      </c>
      <c r="N123" s="273"/>
      <c r="O123" s="274"/>
      <c r="Q123" s="270"/>
      <c r="R123" s="270"/>
      <c r="S123" s="270"/>
    </row>
    <row r="124" spans="1:19" ht="17.25" thickBot="1">
      <c r="A124" s="311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13" t="s">
        <v>58</v>
      </c>
      <c r="H124" s="114" t="s">
        <v>299</v>
      </c>
      <c r="I124" s="115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75"/>
      <c r="R124" s="275"/>
      <c r="S124" s="275"/>
    </row>
    <row r="125" spans="1:19" ht="17.25" thickBot="1">
      <c r="A125" s="122" t="s">
        <v>220</v>
      </c>
      <c r="B125" s="123">
        <v>23.9</v>
      </c>
      <c r="C125" s="72">
        <v>5.75221239E-2</v>
      </c>
      <c r="D125" s="13">
        <v>23.8</v>
      </c>
      <c r="E125" s="14">
        <f>IF(ISNUMBER(D125), (D125 - $B125) / $B125, "")</f>
        <v>-4.184100418409953E-3</v>
      </c>
      <c r="F125" s="16">
        <f>IF(ISNUMBER(D125), $B145 * E125, "")</f>
        <v>-1255.2301255229859</v>
      </c>
      <c r="G125" s="29">
        <v>24.3</v>
      </c>
      <c r="H125" s="14">
        <f>IF(ISNUMBER(G125), (G125 - $B125) / $B125, "")</f>
        <v>1.6736401673640256E-2</v>
      </c>
      <c r="I125" s="96">
        <f>IF(ISNUMBER(G125), $B145 * H125, "")</f>
        <v>5020.9205020920772</v>
      </c>
      <c r="J125" s="13">
        <v>24.5</v>
      </c>
      <c r="K125" s="14">
        <f>IF(ISNUMBER(J125), (J125 - $B125) / $B125, "")</f>
        <v>2.5104602510460313E-2</v>
      </c>
      <c r="L125" s="16">
        <f>IF(ISNUMBER(J125), $B145 * K125, "")</f>
        <v>7531.3807531380935</v>
      </c>
      <c r="M125" s="29">
        <v>23.5</v>
      </c>
      <c r="N125" s="14">
        <f>IF(ISNUMBER(M125), (M125 - $B125) / $B125, "")</f>
        <v>-1.673640167364011E-2</v>
      </c>
      <c r="O125" s="16">
        <f>IF(ISNUMBER(M125), $B145 * N125, "")</f>
        <v>-5020.9205020920335</v>
      </c>
      <c r="Q125" s="270"/>
      <c r="R125" s="270"/>
      <c r="S125" s="270"/>
    </row>
    <row r="126" spans="1:19" ht="17.25" thickBot="1">
      <c r="A126" s="124" t="s">
        <v>154</v>
      </c>
      <c r="B126" s="125">
        <v>24</v>
      </c>
      <c r="C126" s="73">
        <v>5.2631578900000003E-2</v>
      </c>
      <c r="D126" s="15">
        <v>24.2</v>
      </c>
      <c r="E126" s="32">
        <f t="shared" ref="E126:E129" si="62">IF(ISNUMBER(D126), (D126 - $B126) / $B126, "")</f>
        <v>8.3333333333333037E-3</v>
      </c>
      <c r="F126" s="18">
        <f>IF(ISNUMBER(D126), $B145 * E126, "")</f>
        <v>2499.9999999999909</v>
      </c>
      <c r="G126" s="31">
        <v>23.9</v>
      </c>
      <c r="H126" s="32">
        <f t="shared" ref="H126:H129" si="63">IF(ISNUMBER(G126), (G126 - $B126) / $B126, "")</f>
        <v>-4.1666666666667256E-3</v>
      </c>
      <c r="I126" s="97">
        <f>IF(ISNUMBER(G126), $B145 * H126, "")</f>
        <v>-1250.0000000000177</v>
      </c>
      <c r="J126" s="15">
        <v>24.5</v>
      </c>
      <c r="K126" s="32">
        <f t="shared" ref="K126:K129" si="64">IF(ISNUMBER(J126), (J126 - $B126) / $B126, "")</f>
        <v>2.0833333333333332E-2</v>
      </c>
      <c r="L126" s="18">
        <f>IF(ISNUMBER(J126), $B145 * K126, "")</f>
        <v>6250</v>
      </c>
      <c r="M126" s="31">
        <v>22.9</v>
      </c>
      <c r="N126" s="32">
        <f t="shared" ref="N126:N129" si="65">IF(ISNUMBER(M126), (M126 - $B126) / $B126, "")</f>
        <v>-4.5833333333333393E-2</v>
      </c>
      <c r="O126" s="18">
        <f>IF(ISNUMBER(M126), $B145 * N126, "")</f>
        <v>-13750.000000000018</v>
      </c>
      <c r="Q126" s="270"/>
      <c r="R126" s="270"/>
      <c r="S126" s="270"/>
    </row>
    <row r="127" spans="1:19" ht="17.25" thickBot="1">
      <c r="A127" s="124" t="s">
        <v>65</v>
      </c>
      <c r="B127" s="125">
        <v>80</v>
      </c>
      <c r="C127" s="73">
        <v>4.98687664E-2</v>
      </c>
      <c r="D127" s="15">
        <v>76.7</v>
      </c>
      <c r="E127" s="32">
        <f t="shared" si="62"/>
        <v>-4.1249999999999967E-2</v>
      </c>
      <c r="F127" s="18">
        <f>IF(ISNUMBER(D127), $B145 * E127, "")</f>
        <v>-12374.999999999991</v>
      </c>
      <c r="G127" s="31">
        <v>77</v>
      </c>
      <c r="H127" s="32">
        <f t="shared" si="63"/>
        <v>-3.7499999999999999E-2</v>
      </c>
      <c r="I127" s="97">
        <f>IF(ISNUMBER(G127), $B145 * H127, "")</f>
        <v>-11250</v>
      </c>
      <c r="J127" s="15">
        <v>76.400000000000006</v>
      </c>
      <c r="K127" s="32">
        <f t="shared" si="64"/>
        <v>-4.4999999999999929E-2</v>
      </c>
      <c r="L127" s="18">
        <f>IF(ISNUMBER(J127), $B145 * K127, "")</f>
        <v>-13499.999999999978</v>
      </c>
      <c r="M127" s="31">
        <v>73.400000000000006</v>
      </c>
      <c r="N127" s="32">
        <f t="shared" si="65"/>
        <v>-8.2499999999999934E-2</v>
      </c>
      <c r="O127" s="18">
        <f>IF(ISNUMBER(M127), $B145 * N127, "")</f>
        <v>-24749.999999999982</v>
      </c>
      <c r="Q127" s="275"/>
      <c r="R127" s="275"/>
      <c r="S127" s="275"/>
    </row>
    <row r="128" spans="1:19" ht="17.25" thickBot="1">
      <c r="A128" s="124" t="s">
        <v>186</v>
      </c>
      <c r="B128" s="125">
        <v>29.3</v>
      </c>
      <c r="C128" s="73">
        <v>3.9007092200000003E-2</v>
      </c>
      <c r="D128" s="15">
        <v>28.1</v>
      </c>
      <c r="E128" s="32">
        <f t="shared" si="62"/>
        <v>-4.0955631399317384E-2</v>
      </c>
      <c r="F128" s="18">
        <f>IF(ISNUMBER(D128), $B145 * E128, "")</f>
        <v>-12286.689419795215</v>
      </c>
      <c r="G128" s="31">
        <v>28.2</v>
      </c>
      <c r="H128" s="32">
        <f t="shared" si="63"/>
        <v>-3.7542662116041001E-2</v>
      </c>
      <c r="I128" s="97">
        <f>IF(ISNUMBER(G128), $B145 * H128, "")</f>
        <v>-11262.798634812299</v>
      </c>
      <c r="J128" s="15">
        <v>28.2</v>
      </c>
      <c r="K128" s="32">
        <f t="shared" si="64"/>
        <v>-3.7542662116041001E-2</v>
      </c>
      <c r="L128" s="18">
        <f>IF(ISNUMBER(J128), $B145 * K128, "")</f>
        <v>-11262.798634812299</v>
      </c>
      <c r="M128" s="31">
        <v>27.1</v>
      </c>
      <c r="N128" s="32">
        <f t="shared" si="65"/>
        <v>-7.508532423208189E-2</v>
      </c>
      <c r="O128" s="18">
        <f>IF(ISNUMBER(M128), $B145 * N128, "")</f>
        <v>-22525.597269624566</v>
      </c>
      <c r="Q128" s="275"/>
      <c r="R128" s="275"/>
      <c r="S128" s="275"/>
    </row>
    <row r="129" spans="1:19" ht="17.25" thickBot="1">
      <c r="A129" s="126" t="s">
        <v>72</v>
      </c>
      <c r="B129" s="127">
        <v>38.299999999999997</v>
      </c>
      <c r="C129" s="74">
        <v>2.95698925E-2</v>
      </c>
      <c r="D129" s="20">
        <v>36.9</v>
      </c>
      <c r="E129" s="21">
        <f t="shared" si="62"/>
        <v>-3.6553524804177513E-2</v>
      </c>
      <c r="F129" s="22">
        <f>IF(ISNUMBER(D129), $B145 * E129, "")</f>
        <v>-10966.057441253253</v>
      </c>
      <c r="G129" s="30">
        <v>37.200000000000003</v>
      </c>
      <c r="H129" s="21">
        <f t="shared" si="63"/>
        <v>-2.8720626631853638E-2</v>
      </c>
      <c r="I129" s="101">
        <f>IF(ISNUMBER(G129), $B145 * H129, "")</f>
        <v>-8616.1879895560905</v>
      </c>
      <c r="J129" s="20">
        <v>36.799999999999997</v>
      </c>
      <c r="K129" s="21">
        <f t="shared" si="64"/>
        <v>-3.91644908616188E-2</v>
      </c>
      <c r="L129" s="22">
        <f>IF(ISNUMBER(J129), $B145 * K129, "")</f>
        <v>-11749.347258485641</v>
      </c>
      <c r="M129" s="30">
        <v>35.6</v>
      </c>
      <c r="N129" s="21">
        <f t="shared" si="65"/>
        <v>-7.0496083550913732E-2</v>
      </c>
      <c r="O129" s="22">
        <f>IF(ISNUMBER(M129), $B145 * N129, "")</f>
        <v>-21148.825065274119</v>
      </c>
      <c r="Q129" s="275"/>
      <c r="R129" s="275"/>
      <c r="S129" s="275"/>
    </row>
    <row r="130" spans="1:19" ht="17.25" thickBot="1">
      <c r="A130" s="124" t="s">
        <v>254</v>
      </c>
      <c r="B130" s="128">
        <v>99</v>
      </c>
      <c r="C130" s="76">
        <v>2.3784901800000001E-2</v>
      </c>
      <c r="D130" s="102">
        <v>94.5</v>
      </c>
      <c r="E130" s="103">
        <f>IF(ISNUMBER(D130), (D130 - $B130) / $B130, "")</f>
        <v>-4.5454545454545456E-2</v>
      </c>
      <c r="F130" s="104">
        <f>IF(ISNUMBER(D130), $B145 * E130, "")</f>
        <v>-13636.363636363636</v>
      </c>
      <c r="G130" s="105">
        <v>95.3</v>
      </c>
      <c r="H130" s="103">
        <f>IF(ISNUMBER(G130), (G130 - $B130) / $B130, "")</f>
        <v>-3.7373737373737399E-2</v>
      </c>
      <c r="I130" s="106">
        <f>IF(ISNUMBER(G130), $B145 * H130, "")</f>
        <v>-11212.121212121219</v>
      </c>
      <c r="J130" s="102">
        <v>97.8</v>
      </c>
      <c r="K130" s="103">
        <f>IF(ISNUMBER(J130), (J130 - $B130) / $B130, "")</f>
        <v>-1.2121212121212151E-2</v>
      </c>
      <c r="L130" s="104">
        <f>IF(ISNUMBER(J130), $B145 * K130, "")</f>
        <v>-3636.3636363636451</v>
      </c>
      <c r="M130" s="105">
        <v>92.9</v>
      </c>
      <c r="N130" s="103">
        <f>IF(ISNUMBER(M130), (M130 - $B130) / $B130, "")</f>
        <v>-6.1616161616161562E-2</v>
      </c>
      <c r="O130" s="104">
        <f>IF(ISNUMBER(M130), $B145 * N130, "")</f>
        <v>-18484.84848484847</v>
      </c>
      <c r="Q130" s="275"/>
      <c r="R130" s="275"/>
      <c r="S130" s="275"/>
    </row>
    <row r="131" spans="1:19" ht="17.25" thickBot="1">
      <c r="A131" s="124" t="s">
        <v>214</v>
      </c>
      <c r="B131" s="125">
        <v>25.3</v>
      </c>
      <c r="C131" s="73">
        <v>1.6064256999999998E-2</v>
      </c>
      <c r="D131" s="15">
        <v>24</v>
      </c>
      <c r="E131" s="32">
        <f t="shared" ref="E131:E134" si="66">IF(ISNUMBER(D131), (D131 - $B131) / $B131, "")</f>
        <v>-5.1383399209486195E-2</v>
      </c>
      <c r="F131" s="18">
        <f>IF(ISNUMBER(D131), $B145 * E131, "")</f>
        <v>-15415.019762845859</v>
      </c>
      <c r="G131" s="31">
        <v>24.4</v>
      </c>
      <c r="H131" s="32">
        <f t="shared" ref="H131:H134" si="67">IF(ISNUMBER(G131), (G131 - $B131) / $B131, "")</f>
        <v>-3.5573122529644355E-2</v>
      </c>
      <c r="I131" s="97">
        <f>IF(ISNUMBER(G131), $B145 * H131, "")</f>
        <v>-10671.936758893307</v>
      </c>
      <c r="J131" s="15">
        <v>24.2</v>
      </c>
      <c r="K131" s="32">
        <f t="shared" ref="K131:K134" si="68">IF(ISNUMBER(J131), (J131 - $B131) / $B131, "")</f>
        <v>-4.3478260869565272E-2</v>
      </c>
      <c r="L131" s="18">
        <f>IF(ISNUMBER(J131), $B145 * K131, "")</f>
        <v>-13043.478260869582</v>
      </c>
      <c r="M131" s="31">
        <v>23.5</v>
      </c>
      <c r="N131" s="32">
        <f t="shared" ref="N131:N134" si="69">IF(ISNUMBER(M131), (M131 - $B131) / $B131, "")</f>
        <v>-7.1146245059288557E-2</v>
      </c>
      <c r="O131" s="18">
        <f>IF(ISNUMBER(M131), $B145 * N131, "")</f>
        <v>-21343.873517786567</v>
      </c>
      <c r="Q131" s="275"/>
      <c r="R131" s="275"/>
      <c r="S131" s="275"/>
    </row>
    <row r="132" spans="1:19" ht="17.25" thickBot="1">
      <c r="A132" s="124" t="s">
        <v>236</v>
      </c>
      <c r="B132" s="125">
        <v>78.400000000000006</v>
      </c>
      <c r="C132" s="73">
        <v>9.0090090000000001E-3</v>
      </c>
      <c r="D132" s="15">
        <v>74.599999999999994</v>
      </c>
      <c r="E132" s="32">
        <f t="shared" si="66"/>
        <v>-4.8469387755102185E-2</v>
      </c>
      <c r="F132" s="18">
        <f>IF(ISNUMBER(D132), $B145 * E132, "")</f>
        <v>-14540.816326530656</v>
      </c>
      <c r="G132" s="31">
        <v>75.099999999999994</v>
      </c>
      <c r="H132" s="32">
        <f t="shared" si="67"/>
        <v>-4.2091836734694021E-2</v>
      </c>
      <c r="I132" s="97">
        <f>IF(ISNUMBER(G132), $B145 * H132, "")</f>
        <v>-12627.551020408206</v>
      </c>
      <c r="J132" s="15">
        <v>74.7</v>
      </c>
      <c r="K132" s="32">
        <f t="shared" si="68"/>
        <v>-4.719387755102044E-2</v>
      </c>
      <c r="L132" s="18">
        <f>IF(ISNUMBER(J132), $B145 * K132, "")</f>
        <v>-14158.163265306132</v>
      </c>
      <c r="M132" s="31">
        <v>72.2</v>
      </c>
      <c r="N132" s="32">
        <f t="shared" si="69"/>
        <v>-7.9081632653061257E-2</v>
      </c>
      <c r="O132" s="18">
        <f>IF(ISNUMBER(M132), $B145 * N132, "")</f>
        <v>-23724.489795918376</v>
      </c>
      <c r="Q132" s="275"/>
      <c r="R132" s="275"/>
      <c r="S132" s="275"/>
    </row>
    <row r="133" spans="1:19" ht="17.25" thickBot="1">
      <c r="A133" s="124" t="s">
        <v>196</v>
      </c>
      <c r="B133" s="125">
        <v>22.6</v>
      </c>
      <c r="C133" s="73">
        <v>4.4444443999999998E-3</v>
      </c>
      <c r="D133" s="15">
        <v>22</v>
      </c>
      <c r="E133" s="32">
        <f t="shared" si="66"/>
        <v>-2.6548672566371743E-2</v>
      </c>
      <c r="F133" s="18">
        <f>IF(ISNUMBER(D133), $B145 * E133, "")</f>
        <v>-7964.6017699115228</v>
      </c>
      <c r="G133" s="31">
        <v>22.1</v>
      </c>
      <c r="H133" s="32">
        <f t="shared" si="67"/>
        <v>-2.2123893805309734E-2</v>
      </c>
      <c r="I133" s="97">
        <f>IF(ISNUMBER(G133), $B145 * H133, "")</f>
        <v>-6637.1681415929206</v>
      </c>
      <c r="J133" s="15">
        <v>22.1</v>
      </c>
      <c r="K133" s="32">
        <f t="shared" si="68"/>
        <v>-2.2123893805309734E-2</v>
      </c>
      <c r="L133" s="18">
        <f>IF(ISNUMBER(J133), $B145 * K133, "")</f>
        <v>-6637.1681415929206</v>
      </c>
      <c r="M133" s="31">
        <v>21.1</v>
      </c>
      <c r="N133" s="32">
        <f t="shared" si="69"/>
        <v>-6.6371681415929196E-2</v>
      </c>
      <c r="O133" s="18">
        <f>IF(ISNUMBER(M133), $B145 * N133, "")</f>
        <v>-19911.504424778759</v>
      </c>
      <c r="Q133" s="33"/>
      <c r="R133" s="33"/>
    </row>
    <row r="134" spans="1:19" ht="17.25" thickBot="1">
      <c r="A134" s="129" t="s">
        <v>100</v>
      </c>
      <c r="B134" s="130">
        <v>8.4700000000000006</v>
      </c>
      <c r="C134" s="75">
        <v>3.5545023999999999E-3</v>
      </c>
      <c r="D134" s="24">
        <v>8.2200000000000006</v>
      </c>
      <c r="E134" s="25">
        <f t="shared" si="66"/>
        <v>-2.9515938606847696E-2</v>
      </c>
      <c r="F134" s="100">
        <f>IF(ISNUMBER(D134), $B145 * E134, "")</f>
        <v>-8854.7815820543092</v>
      </c>
      <c r="G134" s="98">
        <v>8.26</v>
      </c>
      <c r="H134" s="25">
        <f t="shared" si="67"/>
        <v>-2.4793388429752164E-2</v>
      </c>
      <c r="I134" s="99">
        <f>IF(ISNUMBER(G134), $B145 * H134, "")</f>
        <v>-7438.0165289256493</v>
      </c>
      <c r="J134" s="24">
        <v>8.23</v>
      </c>
      <c r="K134" s="25">
        <f t="shared" si="68"/>
        <v>-2.8335301062573814E-2</v>
      </c>
      <c r="L134" s="100">
        <f>IF(ISNUMBER(J134), $B145 * K134, "")</f>
        <v>-8500.5903187721451</v>
      </c>
      <c r="M134" s="98">
        <v>8.08</v>
      </c>
      <c r="N134" s="25">
        <f t="shared" si="69"/>
        <v>-4.6044864226682469E-2</v>
      </c>
      <c r="O134" s="100">
        <f>IF(ISNUMBER(M134), $B145 * N134, "")</f>
        <v>-13813.459268004741</v>
      </c>
      <c r="Q134" s="284"/>
      <c r="R134" s="285"/>
      <c r="S134" s="286"/>
    </row>
    <row r="135" spans="1:19">
      <c r="A135" s="122" t="s">
        <v>172</v>
      </c>
      <c r="B135" s="123">
        <v>28.7</v>
      </c>
      <c r="C135" s="72">
        <v>3.4965034999999999E-3</v>
      </c>
      <c r="D135" s="13">
        <v>27.4</v>
      </c>
      <c r="E135" s="14">
        <f>IF(ISNUMBER(D135), (D135 - $B135) / $B135, "")</f>
        <v>-4.5296167247386783E-2</v>
      </c>
      <c r="F135" s="16">
        <f>IF(ISNUMBER(D135), $B145 * E135, "")</f>
        <v>-13588.850174216035</v>
      </c>
      <c r="G135" s="29">
        <v>27.3</v>
      </c>
      <c r="H135" s="14">
        <f>IF(ISNUMBER(G135), (G135 - $B135) / $B135, "")</f>
        <v>-4.8780487804878002E-2</v>
      </c>
      <c r="I135" s="96">
        <f>IF(ISNUMBER(G135), $B145 * H135, "")</f>
        <v>-14634.1463414634</v>
      </c>
      <c r="J135" s="13">
        <v>27.5</v>
      </c>
      <c r="K135" s="14">
        <f>IF(ISNUMBER(J135), (J135 - $B135) / $B135, "")</f>
        <v>-4.1811846689895446E-2</v>
      </c>
      <c r="L135" s="16">
        <f>IF(ISNUMBER(J135), $B145 * K135, "")</f>
        <v>-12543.554006968634</v>
      </c>
      <c r="M135" s="29">
        <v>26.5</v>
      </c>
      <c r="N135" s="14">
        <f>IF(ISNUMBER(M135), (M135 - $B135) / $B135, "")</f>
        <v>-7.6655052264808343E-2</v>
      </c>
      <c r="O135" s="16">
        <f>IF(ISNUMBER(M135), $B145 * N135, "")</f>
        <v>-22996.515679442502</v>
      </c>
      <c r="Q135" s="287"/>
      <c r="R135" s="288"/>
      <c r="S135" s="289"/>
    </row>
    <row r="136" spans="1:19" ht="17.25" thickBot="1">
      <c r="A136" s="124" t="s">
        <v>228</v>
      </c>
      <c r="B136" s="125">
        <v>21.1</v>
      </c>
      <c r="C136" s="73">
        <v>0</v>
      </c>
      <c r="D136" s="15">
        <v>20.100000000000001</v>
      </c>
      <c r="E136" s="32">
        <f t="shared" ref="E136:E139" si="70">IF(ISNUMBER(D136), (D136 - $B136) / $B136, "")</f>
        <v>-4.7393364928909949E-2</v>
      </c>
      <c r="F136" s="18">
        <f>IF(ISNUMBER(D136), $B145 * E136, "")</f>
        <v>-14218.009478672984</v>
      </c>
      <c r="G136" s="31">
        <v>20.2</v>
      </c>
      <c r="H136" s="32">
        <f t="shared" ref="H136:H139" si="71">IF(ISNUMBER(G136), (G136 - $B136) / $B136, "")</f>
        <v>-4.2654028436019058E-2</v>
      </c>
      <c r="I136" s="97">
        <f>IF(ISNUMBER(G136), $B145 * H136, "")</f>
        <v>-12796.208530805718</v>
      </c>
      <c r="J136" s="15">
        <v>20.2</v>
      </c>
      <c r="K136" s="32">
        <f t="shared" ref="K136:K139" si="72">IF(ISNUMBER(J136), (J136 - $B136) / $B136, "")</f>
        <v>-4.2654028436019058E-2</v>
      </c>
      <c r="L136" s="18">
        <f>IF(ISNUMBER(J136), $B145 * K136, "")</f>
        <v>-12796.208530805718</v>
      </c>
      <c r="M136" s="31">
        <v>19.5</v>
      </c>
      <c r="N136" s="32">
        <f t="shared" ref="N136:N139" si="73">IF(ISNUMBER(M136), (M136 - $B136) / $B136, "")</f>
        <v>-7.5829383886255985E-2</v>
      </c>
      <c r="O136" s="18">
        <f>IF(ISNUMBER(M136), $B145 * N136, "")</f>
        <v>-22748.815165876797</v>
      </c>
      <c r="Q136" s="290"/>
      <c r="R136" s="291"/>
      <c r="S136" s="292"/>
    </row>
    <row r="137" spans="1:19" ht="17.25" thickBot="1">
      <c r="A137" s="124" t="s">
        <v>222</v>
      </c>
      <c r="B137" s="125">
        <v>20.7</v>
      </c>
      <c r="C137" s="73">
        <v>0</v>
      </c>
      <c r="D137" s="15">
        <v>20</v>
      </c>
      <c r="E137" s="32">
        <f t="shared" si="70"/>
        <v>-3.3816425120772917E-2</v>
      </c>
      <c r="F137" s="18">
        <f>IF(ISNUMBER(D137), $B145 * E137, "")</f>
        <v>-10144.927536231875</v>
      </c>
      <c r="G137" s="31">
        <v>20.100000000000001</v>
      </c>
      <c r="H137" s="32">
        <f t="shared" si="71"/>
        <v>-2.8985507246376711E-2</v>
      </c>
      <c r="I137" s="97">
        <f>IF(ISNUMBER(G137), $B145 * H137, "")</f>
        <v>-8695.652173913013</v>
      </c>
      <c r="J137" s="15">
        <v>20.100000000000001</v>
      </c>
      <c r="K137" s="32">
        <f t="shared" si="72"/>
        <v>-2.8985507246376711E-2</v>
      </c>
      <c r="L137" s="18">
        <f>IF(ISNUMBER(J137), $B145 * K137, "")</f>
        <v>-8695.652173913013</v>
      </c>
      <c r="M137" s="31">
        <v>19.3</v>
      </c>
      <c r="N137" s="32">
        <f t="shared" si="73"/>
        <v>-6.7632850241545833E-2</v>
      </c>
      <c r="O137" s="18">
        <f>IF(ISNUMBER(M137), $B145 * N137, "")</f>
        <v>-20289.85507246375</v>
      </c>
      <c r="Q137" s="275"/>
      <c r="R137" s="275"/>
      <c r="S137" s="275"/>
    </row>
    <row r="138" spans="1:19" ht="17.25" thickBot="1">
      <c r="A138" s="124" t="s">
        <v>198</v>
      </c>
      <c r="B138" s="125">
        <v>32.4</v>
      </c>
      <c r="C138" s="73">
        <v>0</v>
      </c>
      <c r="D138" s="15">
        <v>30.9</v>
      </c>
      <c r="E138" s="32">
        <f t="shared" si="70"/>
        <v>-4.6296296296296301E-2</v>
      </c>
      <c r="F138" s="18">
        <f>IF(ISNUMBER(D138), $B145 * E138, "")</f>
        <v>-13888.888888888891</v>
      </c>
      <c r="G138" s="31">
        <v>31.1</v>
      </c>
      <c r="H138" s="32">
        <f t="shared" si="71"/>
        <v>-4.0123456790123371E-2</v>
      </c>
      <c r="I138" s="97">
        <f>IF(ISNUMBER(G138), $B145 * H138, "")</f>
        <v>-12037.037037037011</v>
      </c>
      <c r="J138" s="15">
        <v>31</v>
      </c>
      <c r="K138" s="32">
        <f t="shared" si="72"/>
        <v>-4.3209876543209833E-2</v>
      </c>
      <c r="L138" s="18">
        <f>IF(ISNUMBER(J138), $B145 * K138, "")</f>
        <v>-12962.962962962949</v>
      </c>
      <c r="M138" s="31">
        <v>29.9</v>
      </c>
      <c r="N138" s="32">
        <f t="shared" si="73"/>
        <v>-7.7160493827160503E-2</v>
      </c>
      <c r="O138" s="18">
        <f>IF(ISNUMBER(M138), $B145 * N138, "")</f>
        <v>-23148.14814814815</v>
      </c>
      <c r="Q138" s="270"/>
      <c r="R138" s="270"/>
      <c r="S138" s="270"/>
    </row>
    <row r="139" spans="1:19" ht="17.25" thickBot="1">
      <c r="A139" s="126" t="s">
        <v>152</v>
      </c>
      <c r="B139" s="127">
        <v>49.8</v>
      </c>
      <c r="C139" s="74">
        <v>-2.0040079999999998E-3</v>
      </c>
      <c r="D139" s="20">
        <v>47.6</v>
      </c>
      <c r="E139" s="21">
        <f t="shared" si="70"/>
        <v>-4.4176706827309155E-2</v>
      </c>
      <c r="F139" s="22">
        <f>IF(ISNUMBER(D139), $B145 * E139, "")</f>
        <v>-13253.012048192746</v>
      </c>
      <c r="G139" s="30">
        <v>48</v>
      </c>
      <c r="H139" s="21">
        <f t="shared" si="71"/>
        <v>-3.6144578313252955E-2</v>
      </c>
      <c r="I139" s="101">
        <f>IF(ISNUMBER(G139), $B145 * H139, "")</f>
        <v>-10843.373493975887</v>
      </c>
      <c r="J139" s="20">
        <v>47.8</v>
      </c>
      <c r="K139" s="21">
        <f t="shared" si="72"/>
        <v>-4.0160642570281124E-2</v>
      </c>
      <c r="L139" s="22">
        <f>IF(ISNUMBER(J139), $B145 * K139, "")</f>
        <v>-12048.192771084337</v>
      </c>
      <c r="M139" s="30">
        <v>45.6</v>
      </c>
      <c r="N139" s="21">
        <f t="shared" si="73"/>
        <v>-8.4337349397590286E-2</v>
      </c>
      <c r="O139" s="22">
        <f>IF(ISNUMBER(M139), $B145 * N139, "")</f>
        <v>-25301.204819277085</v>
      </c>
      <c r="Q139" s="270"/>
      <c r="R139" s="270"/>
      <c r="S139" s="270"/>
    </row>
    <row r="140" spans="1:19" ht="17.25" thickBot="1">
      <c r="A140" s="124" t="s">
        <v>218</v>
      </c>
      <c r="B140" s="128">
        <v>32.799999999999997</v>
      </c>
      <c r="C140" s="76">
        <v>-3.0395137E-3</v>
      </c>
      <c r="D140" s="102">
        <v>31.3</v>
      </c>
      <c r="E140" s="103">
        <f>IF(ISNUMBER(D140), (D140 - $B140) / $B140, "")</f>
        <v>-4.5731707317073066E-2</v>
      </c>
      <c r="F140" s="104">
        <f>IF(ISNUMBER(D140), $B145 * E140, "")</f>
        <v>-13719.512195121919</v>
      </c>
      <c r="G140" s="105">
        <v>31.8</v>
      </c>
      <c r="H140" s="103">
        <f>IF(ISNUMBER(G140), (G140 - $B140) / $B140, "")</f>
        <v>-3.0487804878048676E-2</v>
      </c>
      <c r="I140" s="106">
        <f>IF(ISNUMBER(G140), $B145 * H140, "")</f>
        <v>-9146.3414634146029</v>
      </c>
      <c r="J140" s="102">
        <v>31.4</v>
      </c>
      <c r="K140" s="103">
        <f>IF(ISNUMBER(J140), (J140 - $B140) / $B140, "")</f>
        <v>-4.2682926829268254E-2</v>
      </c>
      <c r="L140" s="104">
        <f>IF(ISNUMBER(J140), $B145 * K140, "")</f>
        <v>-12804.878048780476</v>
      </c>
      <c r="M140" s="105">
        <v>30.3</v>
      </c>
      <c r="N140" s="103">
        <f>IF(ISNUMBER(M140), (M140 - $B140) / $B140, "")</f>
        <v>-7.6219512195121852E-2</v>
      </c>
      <c r="O140" s="104">
        <f>IF(ISNUMBER(M140), $B145 * N140, "")</f>
        <v>-22865.853658536555</v>
      </c>
      <c r="Q140" s="275"/>
      <c r="R140" s="275"/>
      <c r="S140" s="275"/>
    </row>
    <row r="141" spans="1:19" ht="17.25" thickBot="1">
      <c r="A141" s="124" t="s">
        <v>126</v>
      </c>
      <c r="B141" s="125">
        <v>68.7</v>
      </c>
      <c r="C141" s="73">
        <v>-7.2254334999999996E-3</v>
      </c>
      <c r="D141" s="15">
        <v>65.7</v>
      </c>
      <c r="E141" s="32">
        <f t="shared" ref="E141:E144" si="74">IF(ISNUMBER(D141), (D141 - $B141) / $B141, "")</f>
        <v>-4.3668122270742356E-2</v>
      </c>
      <c r="F141" s="18">
        <f>IF(ISNUMBER(D141), $B145 * E141, "")</f>
        <v>-13100.436681222707</v>
      </c>
      <c r="G141" s="31">
        <v>66.099999999999994</v>
      </c>
      <c r="H141" s="32">
        <f t="shared" ref="H141:H144" si="75">IF(ISNUMBER(G141), (G141 - $B141) / $B141, "")</f>
        <v>-3.7845705967976831E-2</v>
      </c>
      <c r="I141" s="97">
        <f>IF(ISNUMBER(G141), $B145 * H141, "")</f>
        <v>-11353.711790393048</v>
      </c>
      <c r="J141" s="15">
        <v>65.7</v>
      </c>
      <c r="K141" s="32">
        <f t="shared" ref="K141:K144" si="76">IF(ISNUMBER(J141), (J141 - $B141) / $B141, "")</f>
        <v>-4.3668122270742356E-2</v>
      </c>
      <c r="L141" s="18">
        <f>IF(ISNUMBER(J141), $B145 * K141, "")</f>
        <v>-13100.436681222707</v>
      </c>
      <c r="M141" s="31">
        <v>63.1</v>
      </c>
      <c r="N141" s="32">
        <f t="shared" ref="N141:N144" si="77">IF(ISNUMBER(M141), (M141 - $B141) / $B141, "")</f>
        <v>-8.1513828238719083E-2</v>
      </c>
      <c r="O141" s="18">
        <f>IF(ISNUMBER(M141), $B145 * N141, "")</f>
        <v>-24454.148471615725</v>
      </c>
      <c r="Q141" s="275"/>
      <c r="R141" s="275"/>
      <c r="S141" s="275"/>
    </row>
    <row r="142" spans="1:19" ht="17.25" thickBot="1">
      <c r="A142" s="124"/>
      <c r="B142" s="125"/>
      <c r="C142" s="73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97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275"/>
      <c r="R142" s="275"/>
      <c r="S142" s="275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97"/>
      <c r="R143" s="298"/>
      <c r="S143" s="299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00"/>
      <c r="R144" s="301"/>
      <c r="S144" s="302"/>
    </row>
    <row r="145" spans="1:19" ht="17.25" thickBot="1">
      <c r="A145" s="131" t="s">
        <v>301</v>
      </c>
      <c r="B145" s="308">
        <f>$B$37</f>
        <v>300000</v>
      </c>
      <c r="C145" s="309"/>
      <c r="D145" s="26" t="s">
        <v>302</v>
      </c>
      <c r="E145" s="27">
        <f>IF(COUNT(E125:E144), SUM(E125:E144) / COUNT(E125:E144), 0)</f>
        <v>-3.6609450405259723E-2</v>
      </c>
      <c r="F145" s="28">
        <f>SUM(F125:F144)</f>
        <v>-186708.19706682459</v>
      </c>
      <c r="G145" s="26" t="s">
        <v>302</v>
      </c>
      <c r="H145" s="27">
        <f>IF(COUNT(H125:H144), SUM(H125:H144) / COUNT(H125:H144), 0)</f>
        <v>-3.0480653061807909E-2</v>
      </c>
      <c r="I145" s="28">
        <f>SUM(I125:I144)</f>
        <v>-155451.3306152203</v>
      </c>
      <c r="J145" s="26" t="s">
        <v>302</v>
      </c>
      <c r="K145" s="27">
        <f>IF(COUNT(K125:K144), SUM(K125:K144) / COUNT(K125:K144), 0)</f>
        <v>-3.0129100772314142E-2</v>
      </c>
      <c r="L145" s="28">
        <f>SUM(L125:L144)</f>
        <v>-153658.41393880208</v>
      </c>
      <c r="M145" s="26" t="s">
        <v>302</v>
      </c>
      <c r="N145" s="27">
        <f>IF(COUNT(N125:N144), SUM(N125:N144) / COUNT(N125:N144), 0)</f>
        <v>-6.7897658694840837E-2</v>
      </c>
      <c r="O145" s="28">
        <f>SUM(O125:O144)</f>
        <v>-346278.05934368825</v>
      </c>
      <c r="Q145" s="303"/>
      <c r="R145" s="304"/>
      <c r="S145" s="305"/>
    </row>
    <row r="147" spans="1:19" ht="17.25" thickBot="1"/>
    <row r="148" spans="1:19" ht="17.25" thickBot="1">
      <c r="A148" s="249" t="s">
        <v>289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1"/>
      <c r="Q148" s="270"/>
      <c r="R148" s="270"/>
      <c r="S148" s="270"/>
    </row>
    <row r="149" spans="1:19" ht="17.25" thickBot="1">
      <c r="A149" s="112" t="s">
        <v>298</v>
      </c>
      <c r="B149" s="249" t="s">
        <v>49</v>
      </c>
      <c r="C149" s="251"/>
      <c r="D149" s="249" t="s">
        <v>58</v>
      </c>
      <c r="E149" s="250"/>
      <c r="F149" s="251"/>
      <c r="G149" s="276">
        <f>_xlfn.IFNA(VLOOKUP(B149, 현재가테이블!$B$2:$D$200, 2, FALSE), "-")</f>
        <v>60874000</v>
      </c>
      <c r="H149" s="277"/>
      <c r="I149" s="278"/>
      <c r="J149" s="249" t="s">
        <v>59</v>
      </c>
      <c r="K149" s="250"/>
      <c r="L149" s="251"/>
      <c r="M149" s="279">
        <f>_xlfn.IFNA(VLOOKUP(B149, 현재가테이블!$B$2:$D$200, 3, FALSE), "-")</f>
        <v>-1.4936000099999999E-2</v>
      </c>
      <c r="N149" s="280"/>
      <c r="O149" s="281"/>
      <c r="Q149" s="270"/>
      <c r="R149" s="270"/>
      <c r="S149" s="270"/>
    </row>
    <row r="150" spans="1:19" ht="17.25" thickBot="1">
      <c r="A150" s="310" t="s">
        <v>55</v>
      </c>
      <c r="B150" s="312" t="str">
        <f>TEXT($G$1, "[$-ko-KR]yyyy-mm-dd(ddd) ") &amp; "오전 00:00"</f>
        <v>2021-05-04(화) 오전 00:00</v>
      </c>
      <c r="C150" s="313"/>
      <c r="D150" s="272" t="str">
        <f>TEXT($G$1, "[$-ko-KR]yyyy-mm-dd(ddd) ") &amp; "오후 14:00"</f>
        <v>2021-05-04(화) 오후 14:00</v>
      </c>
      <c r="E150" s="273"/>
      <c r="F150" s="274"/>
      <c r="G150" s="272" t="str">
        <f>TEXT($G$1, "[$-ko-KR]yyyy-mm-dd(ddd) ") &amp; "오후 19:00"</f>
        <v>2021-05-04(화) 오후 19:00</v>
      </c>
      <c r="H150" s="273"/>
      <c r="I150" s="274"/>
      <c r="J150" s="272" t="str">
        <f>TEXT($G$1, "[$-ko-KR]yyyy-mm-dd(ddd) ") &amp; "오후 21:00"</f>
        <v>2021-05-04(화) 오후 21:00</v>
      </c>
      <c r="K150" s="273"/>
      <c r="L150" s="274"/>
      <c r="M150" s="272" t="str">
        <f>TEXT($G$1+1, "[$-ko-KR]yyyy-mm-dd(ddd) ") &amp; "오전 00:00"</f>
        <v>2021-05-05(수) 오전 00:00</v>
      </c>
      <c r="N150" s="273"/>
      <c r="O150" s="274"/>
      <c r="Q150" s="270"/>
      <c r="R150" s="270"/>
      <c r="S150" s="270"/>
    </row>
    <row r="151" spans="1:19" ht="17.25" thickBot="1">
      <c r="A151" s="311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13" t="s">
        <v>58</v>
      </c>
      <c r="H151" s="114" t="s">
        <v>299</v>
      </c>
      <c r="I151" s="115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75"/>
      <c r="R151" s="275"/>
      <c r="S151" s="275"/>
    </row>
    <row r="152" spans="1:19" ht="17.25" thickBot="1">
      <c r="A152" s="122" t="s">
        <v>260</v>
      </c>
      <c r="B152" s="123">
        <v>140</v>
      </c>
      <c r="C152" s="72">
        <v>7.1942446E-3</v>
      </c>
      <c r="D152" s="13">
        <v>134</v>
      </c>
      <c r="E152" s="14">
        <f>IF(ISNUMBER(D152), (D152 - $B152) / $B152, "")</f>
        <v>-4.2857142857142858E-2</v>
      </c>
      <c r="F152" s="16">
        <f>IF(ISNUMBER(D152), $B172 * E152, "")</f>
        <v>-12857.142857142857</v>
      </c>
      <c r="G152" s="29">
        <v>134</v>
      </c>
      <c r="H152" s="14">
        <f>IF(ISNUMBER(G152), (G152 - $B152) / $B152, "")</f>
        <v>-4.2857142857142858E-2</v>
      </c>
      <c r="I152" s="96">
        <f>IF(ISNUMBER(G152), $B172 * H152, "")</f>
        <v>-12857.142857142857</v>
      </c>
      <c r="J152" s="13">
        <v>135</v>
      </c>
      <c r="K152" s="14">
        <f>IF(ISNUMBER(J152), (J152 - $B152) / $B152, "")</f>
        <v>-3.5714285714285712E-2</v>
      </c>
      <c r="L152" s="16">
        <f>IF(ISNUMBER(J152), $B172 * K152, "")</f>
        <v>-10714.285714285714</v>
      </c>
      <c r="M152" s="29">
        <v>129</v>
      </c>
      <c r="N152" s="14">
        <f>IF(ISNUMBER(M152), (M152 - $B152) / $B152, "")</f>
        <v>-7.857142857142857E-2</v>
      </c>
      <c r="O152" s="16">
        <f>IF(ISNUMBER(M152), $B172 * N152, "")</f>
        <v>-23571.428571428572</v>
      </c>
      <c r="Q152" s="270"/>
      <c r="R152" s="270"/>
      <c r="S152" s="270"/>
    </row>
    <row r="153" spans="1:19" ht="17.25" thickBot="1">
      <c r="A153" s="124" t="s">
        <v>134</v>
      </c>
      <c r="B153" s="125">
        <v>162</v>
      </c>
      <c r="C153" s="73">
        <v>6.2111800999999998E-3</v>
      </c>
      <c r="D153" s="15">
        <v>158</v>
      </c>
      <c r="E153" s="32">
        <f t="shared" ref="E153:E156" si="78">IF(ISNUMBER(D153), (D153 - $B153) / $B153, "")</f>
        <v>-2.4691358024691357E-2</v>
      </c>
      <c r="F153" s="18">
        <f>IF(ISNUMBER(D153), $B172 * E153, "")</f>
        <v>-7407.4074074074069</v>
      </c>
      <c r="G153" s="31">
        <v>158</v>
      </c>
      <c r="H153" s="32">
        <f t="shared" ref="H153:H156" si="79">IF(ISNUMBER(G153), (G153 - $B153) / $B153, "")</f>
        <v>-2.4691358024691357E-2</v>
      </c>
      <c r="I153" s="97">
        <f>IF(ISNUMBER(G153), $B172 * H153, "")</f>
        <v>-7407.4074074074069</v>
      </c>
      <c r="J153" s="15">
        <v>157</v>
      </c>
      <c r="K153" s="32">
        <f t="shared" ref="K153:K156" si="80">IF(ISNUMBER(J153), (J153 - $B153) / $B153, "")</f>
        <v>-3.0864197530864196E-2</v>
      </c>
      <c r="L153" s="18">
        <f>IF(ISNUMBER(J153), $B172 * K153, "")</f>
        <v>-9259.2592592592591</v>
      </c>
      <c r="M153" s="31">
        <v>153</v>
      </c>
      <c r="N153" s="32">
        <f t="shared" ref="N153:N156" si="81">IF(ISNUMBER(M153), (M153 - $B153) / $B153, "")</f>
        <v>-5.5555555555555552E-2</v>
      </c>
      <c r="O153" s="18">
        <f>IF(ISNUMBER(M153), $B172 * N153, "")</f>
        <v>-16666.666666666664</v>
      </c>
      <c r="Q153" s="270"/>
      <c r="R153" s="270"/>
      <c r="S153" s="270"/>
    </row>
    <row r="154" spans="1:19" ht="17.25" thickBot="1">
      <c r="A154" s="124" t="s">
        <v>216</v>
      </c>
      <c r="B154" s="125">
        <v>492</v>
      </c>
      <c r="C154" s="73">
        <v>6.1349693000000002E-3</v>
      </c>
      <c r="D154" s="15">
        <v>473</v>
      </c>
      <c r="E154" s="32">
        <f t="shared" si="78"/>
        <v>-3.8617886178861791E-2</v>
      </c>
      <c r="F154" s="18">
        <f>IF(ISNUMBER(D154), $B172 * E154, "")</f>
        <v>-11585.365853658537</v>
      </c>
      <c r="G154" s="31">
        <v>476</v>
      </c>
      <c r="H154" s="32">
        <f t="shared" si="79"/>
        <v>-3.2520325203252036E-2</v>
      </c>
      <c r="I154" s="97">
        <f>IF(ISNUMBER(G154), $B172 * H154, "")</f>
        <v>-9756.0975609756115</v>
      </c>
      <c r="J154" s="15">
        <v>473</v>
      </c>
      <c r="K154" s="32">
        <f t="shared" si="80"/>
        <v>-3.8617886178861791E-2</v>
      </c>
      <c r="L154" s="18">
        <f>IF(ISNUMBER(J154), $B172 * K154, "")</f>
        <v>-11585.365853658537</v>
      </c>
      <c r="M154" s="31">
        <v>457</v>
      </c>
      <c r="N154" s="32">
        <f t="shared" si="81"/>
        <v>-7.113821138211382E-2</v>
      </c>
      <c r="O154" s="18">
        <f>IF(ISNUMBER(M154), $B172 * N154, "")</f>
        <v>-21341.463414634145</v>
      </c>
      <c r="Q154" s="275"/>
      <c r="R154" s="275"/>
      <c r="S154" s="275"/>
    </row>
    <row r="155" spans="1:19" ht="17.25" thickBot="1">
      <c r="A155" s="124" t="s">
        <v>282</v>
      </c>
      <c r="B155" s="125">
        <v>182</v>
      </c>
      <c r="C155" s="73">
        <v>5.5248618999999997E-3</v>
      </c>
      <c r="D155" s="15">
        <v>177</v>
      </c>
      <c r="E155" s="32">
        <f t="shared" si="78"/>
        <v>-2.7472527472527472E-2</v>
      </c>
      <c r="F155" s="18">
        <f>IF(ISNUMBER(D155), $B172 * E155, "")</f>
        <v>-8241.7582417582416</v>
      </c>
      <c r="G155" s="31">
        <v>178</v>
      </c>
      <c r="H155" s="32">
        <f t="shared" si="79"/>
        <v>-2.197802197802198E-2</v>
      </c>
      <c r="I155" s="97">
        <f>IF(ISNUMBER(G155), $B172 * H155, "")</f>
        <v>-6593.4065934065939</v>
      </c>
      <c r="J155" s="15">
        <v>176</v>
      </c>
      <c r="K155" s="32">
        <f t="shared" si="80"/>
        <v>-3.2967032967032968E-2</v>
      </c>
      <c r="L155" s="18">
        <f>IF(ISNUMBER(J155), $B172 * K155, "")</f>
        <v>-9890.1098901098903</v>
      </c>
      <c r="M155" s="31">
        <v>172</v>
      </c>
      <c r="N155" s="32">
        <f t="shared" si="81"/>
        <v>-5.4945054945054944E-2</v>
      </c>
      <c r="O155" s="18">
        <f>IF(ISNUMBER(M155), $B172 * N155, "")</f>
        <v>-16483.516483516483</v>
      </c>
      <c r="Q155" s="275"/>
      <c r="R155" s="275"/>
      <c r="S155" s="275"/>
    </row>
    <row r="156" spans="1:19" ht="17.25" thickBot="1">
      <c r="A156" s="126" t="s">
        <v>54</v>
      </c>
      <c r="B156" s="127">
        <v>400</v>
      </c>
      <c r="C156" s="74">
        <v>5.0251256000000003E-3</v>
      </c>
      <c r="D156" s="20">
        <v>384</v>
      </c>
      <c r="E156" s="21">
        <f t="shared" si="78"/>
        <v>-0.04</v>
      </c>
      <c r="F156" s="22">
        <f>IF(ISNUMBER(D156), $B172 * E156, "")</f>
        <v>-12000</v>
      </c>
      <c r="G156" s="30">
        <v>384</v>
      </c>
      <c r="H156" s="21">
        <f t="shared" si="79"/>
        <v>-0.04</v>
      </c>
      <c r="I156" s="101">
        <f>IF(ISNUMBER(G156), $B172 * H156, "")</f>
        <v>-12000</v>
      </c>
      <c r="J156" s="20">
        <v>380</v>
      </c>
      <c r="K156" s="21">
        <f t="shared" si="80"/>
        <v>-0.05</v>
      </c>
      <c r="L156" s="22">
        <f>IF(ISNUMBER(J156), $B172 * K156, "")</f>
        <v>-15000</v>
      </c>
      <c r="M156" s="30">
        <v>364</v>
      </c>
      <c r="N156" s="21">
        <f t="shared" si="81"/>
        <v>-0.09</v>
      </c>
      <c r="O156" s="22">
        <f>IF(ISNUMBER(M156), $B172 * N156, "")</f>
        <v>-27000</v>
      </c>
      <c r="Q156" s="275"/>
      <c r="R156" s="275"/>
      <c r="S156" s="275"/>
    </row>
    <row r="157" spans="1:19" ht="17.25" thickBot="1">
      <c r="A157" s="124" t="s">
        <v>230</v>
      </c>
      <c r="B157" s="128">
        <v>200</v>
      </c>
      <c r="C157" s="76">
        <v>5.0251256000000003E-3</v>
      </c>
      <c r="D157" s="102">
        <v>192</v>
      </c>
      <c r="E157" s="103">
        <f>IF(ISNUMBER(D157), (D157 - $B157) / $B157, "")</f>
        <v>-0.04</v>
      </c>
      <c r="F157" s="104">
        <f>IF(ISNUMBER(D157), $B172 * E157, "")</f>
        <v>-12000</v>
      </c>
      <c r="G157" s="105">
        <v>193</v>
      </c>
      <c r="H157" s="103">
        <f>IF(ISNUMBER(G157), (G157 - $B157) / $B157, "")</f>
        <v>-3.5000000000000003E-2</v>
      </c>
      <c r="I157" s="106">
        <f>IF(ISNUMBER(G157), $B172 * H157, "")</f>
        <v>-10500.000000000002</v>
      </c>
      <c r="J157" s="102">
        <v>191</v>
      </c>
      <c r="K157" s="103">
        <f>IF(ISNUMBER(J157), (J157 - $B157) / $B157, "")</f>
        <v>-4.4999999999999998E-2</v>
      </c>
      <c r="L157" s="104">
        <f>IF(ISNUMBER(J157), $B172 * K157, "")</f>
        <v>-13500</v>
      </c>
      <c r="M157" s="105">
        <v>185</v>
      </c>
      <c r="N157" s="103">
        <f>IF(ISNUMBER(M157), (M157 - $B157) / $B157, "")</f>
        <v>-7.4999999999999997E-2</v>
      </c>
      <c r="O157" s="104">
        <f>IF(ISNUMBER(M157), $B172 * N157, "")</f>
        <v>-22500</v>
      </c>
      <c r="Q157" s="275"/>
      <c r="R157" s="275"/>
      <c r="S157" s="275"/>
    </row>
    <row r="158" spans="1:19" ht="17.25" thickBot="1">
      <c r="A158" s="124" t="s">
        <v>210</v>
      </c>
      <c r="B158" s="125">
        <v>223</v>
      </c>
      <c r="C158" s="73">
        <v>4.5045045000000001E-3</v>
      </c>
      <c r="D158" s="15">
        <v>210</v>
      </c>
      <c r="E158" s="32">
        <f t="shared" ref="E158:E161" si="82">IF(ISNUMBER(D158), (D158 - $B158) / $B158, "")</f>
        <v>-5.829596412556054E-2</v>
      </c>
      <c r="F158" s="18">
        <f>IF(ISNUMBER(D158), $B172 * E158, "")</f>
        <v>-17488.789237668163</v>
      </c>
      <c r="G158" s="31">
        <v>212</v>
      </c>
      <c r="H158" s="32">
        <f t="shared" ref="H158:H161" si="83">IF(ISNUMBER(G158), (G158 - $B158) / $B158, "")</f>
        <v>-4.9327354260089683E-2</v>
      </c>
      <c r="I158" s="97">
        <f>IF(ISNUMBER(G158), $B172 * H158, "")</f>
        <v>-14798.206278026904</v>
      </c>
      <c r="J158" s="15">
        <v>211</v>
      </c>
      <c r="K158" s="32">
        <f t="shared" ref="K158:K161" si="84">IF(ISNUMBER(J158), (J158 - $B158) / $B158, "")</f>
        <v>-5.3811659192825115E-2</v>
      </c>
      <c r="L158" s="18">
        <f>IF(ISNUMBER(J158), $B172 * K158, "")</f>
        <v>-16143.497757847534</v>
      </c>
      <c r="M158" s="31">
        <v>203</v>
      </c>
      <c r="N158" s="32">
        <f t="shared" ref="N158:N161" si="85">IF(ISNUMBER(M158), (M158 - $B158) / $B158, "")</f>
        <v>-8.9686098654708515E-2</v>
      </c>
      <c r="O158" s="18">
        <f>IF(ISNUMBER(M158), $B172 * N158, "")</f>
        <v>-26905.829596412554</v>
      </c>
      <c r="Q158" s="275"/>
      <c r="R158" s="275"/>
      <c r="S158" s="275"/>
    </row>
    <row r="159" spans="1:19" ht="17.25" thickBot="1">
      <c r="A159" s="124" t="s">
        <v>51</v>
      </c>
      <c r="B159" s="125">
        <v>673</v>
      </c>
      <c r="C159" s="73">
        <v>4.4776119000000001E-3</v>
      </c>
      <c r="D159" s="15">
        <v>655</v>
      </c>
      <c r="E159" s="32">
        <f t="shared" si="82"/>
        <v>-2.6745913818722138E-2</v>
      </c>
      <c r="F159" s="18">
        <f>IF(ISNUMBER(D159), $B172 * E159, "")</f>
        <v>-8023.7741456166414</v>
      </c>
      <c r="G159" s="31">
        <v>662</v>
      </c>
      <c r="H159" s="32">
        <f t="shared" si="83"/>
        <v>-1.6344725111441308E-2</v>
      </c>
      <c r="I159" s="97">
        <f>IF(ISNUMBER(G159), $B172 * H159, "")</f>
        <v>-4903.4175334323927</v>
      </c>
      <c r="J159" s="15">
        <v>659</v>
      </c>
      <c r="K159" s="32">
        <f t="shared" si="84"/>
        <v>-2.0802377414561663E-2</v>
      </c>
      <c r="L159" s="18">
        <f>IF(ISNUMBER(J159), $B172 * K159, "")</f>
        <v>-6240.7132243684991</v>
      </c>
      <c r="M159" s="31">
        <v>652</v>
      </c>
      <c r="N159" s="32">
        <f t="shared" si="85"/>
        <v>-3.1203566121842496E-2</v>
      </c>
      <c r="O159" s="18">
        <f>IF(ISNUMBER(M159), $B172 * N159, "")</f>
        <v>-9361.0698365527496</v>
      </c>
      <c r="Q159" s="275"/>
      <c r="R159" s="275"/>
      <c r="S159" s="275"/>
    </row>
    <row r="160" spans="1:19" ht="17.25" thickBot="1">
      <c r="A160" s="124" t="s">
        <v>200</v>
      </c>
      <c r="B160" s="125">
        <v>411</v>
      </c>
      <c r="C160" s="73">
        <v>2.4390243999999998E-3</v>
      </c>
      <c r="D160" s="15">
        <v>398</v>
      </c>
      <c r="E160" s="32">
        <f t="shared" si="82"/>
        <v>-3.1630170316301706E-2</v>
      </c>
      <c r="F160" s="18">
        <f>IF(ISNUMBER(D160), $B172 * E160, "")</f>
        <v>-9489.0510948905121</v>
      </c>
      <c r="G160" s="31">
        <v>401</v>
      </c>
      <c r="H160" s="32">
        <f t="shared" si="83"/>
        <v>-2.4330900243309004E-2</v>
      </c>
      <c r="I160" s="97">
        <f>IF(ISNUMBER(G160), $B172 * H160, "")</f>
        <v>-7299.270072992701</v>
      </c>
      <c r="J160" s="15">
        <v>401</v>
      </c>
      <c r="K160" s="32">
        <f t="shared" si="84"/>
        <v>-2.4330900243309004E-2</v>
      </c>
      <c r="L160" s="18">
        <f>IF(ISNUMBER(J160), $B172 * K160, "")</f>
        <v>-7299.270072992701</v>
      </c>
      <c r="M160" s="31">
        <v>386</v>
      </c>
      <c r="N160" s="32">
        <f t="shared" si="85"/>
        <v>-6.0827250608272508E-2</v>
      </c>
      <c r="O160" s="18">
        <f>IF(ISNUMBER(M160), $B172 * N160, "")</f>
        <v>-18248.175182481751</v>
      </c>
      <c r="Q160" s="33"/>
      <c r="R160" s="33"/>
    </row>
    <row r="161" spans="1:19" ht="17.25" thickBot="1">
      <c r="A161" s="129" t="s">
        <v>226</v>
      </c>
      <c r="B161" s="130">
        <v>559</v>
      </c>
      <c r="C161" s="75">
        <v>1.7921147000000001E-3</v>
      </c>
      <c r="D161" s="24">
        <v>542</v>
      </c>
      <c r="E161" s="25">
        <f t="shared" si="82"/>
        <v>-3.041144901610018E-2</v>
      </c>
      <c r="F161" s="100">
        <f>IF(ISNUMBER(D161), $B172 * E161, "")</f>
        <v>-9123.4347048300533</v>
      </c>
      <c r="G161" s="98">
        <v>543</v>
      </c>
      <c r="H161" s="25">
        <f t="shared" si="83"/>
        <v>-2.8622540250447227E-2</v>
      </c>
      <c r="I161" s="99">
        <f>IF(ISNUMBER(G161), $B172 * H161, "")</f>
        <v>-8586.7620751341674</v>
      </c>
      <c r="J161" s="24">
        <v>540</v>
      </c>
      <c r="K161" s="25">
        <f t="shared" si="84"/>
        <v>-3.3989266547406083E-2</v>
      </c>
      <c r="L161" s="100">
        <f>IF(ISNUMBER(J161), $B172 * K161, "")</f>
        <v>-10196.779964221825</v>
      </c>
      <c r="M161" s="98">
        <v>521</v>
      </c>
      <c r="N161" s="25">
        <f t="shared" si="85"/>
        <v>-6.7978533094812166E-2</v>
      </c>
      <c r="O161" s="100">
        <f>IF(ISNUMBER(M161), $B172 * N161, "")</f>
        <v>-20393.55992844365</v>
      </c>
      <c r="Q161" s="284"/>
      <c r="R161" s="285"/>
      <c r="S161" s="286"/>
    </row>
    <row r="162" spans="1:19">
      <c r="A162" s="122" t="s">
        <v>284</v>
      </c>
      <c r="B162" s="123">
        <v>480</v>
      </c>
      <c r="C162" s="72">
        <v>0</v>
      </c>
      <c r="D162" s="13">
        <v>466</v>
      </c>
      <c r="E162" s="14">
        <f>IF(ISNUMBER(D162), (D162 - $B162) / $B162, "")</f>
        <v>-2.9166666666666667E-2</v>
      </c>
      <c r="F162" s="16">
        <f>IF(ISNUMBER(D162), $B172 * E162, "")</f>
        <v>-8750</v>
      </c>
      <c r="G162" s="29">
        <v>467</v>
      </c>
      <c r="H162" s="14">
        <f>IF(ISNUMBER(G162), (G162 - $B162) / $B162, "")</f>
        <v>-2.7083333333333334E-2</v>
      </c>
      <c r="I162" s="96">
        <f>IF(ISNUMBER(G162), $B172 * H162, "")</f>
        <v>-8125</v>
      </c>
      <c r="J162" s="13">
        <v>463</v>
      </c>
      <c r="K162" s="14">
        <f>IF(ISNUMBER(J162), (J162 - $B162) / $B162, "")</f>
        <v>-3.5416666666666666E-2</v>
      </c>
      <c r="L162" s="16">
        <f>IF(ISNUMBER(J162), $B172 * K162, "")</f>
        <v>-10625</v>
      </c>
      <c r="M162" s="29">
        <v>446</v>
      </c>
      <c r="N162" s="14">
        <f>IF(ISNUMBER(M162), (M162 - $B162) / $B162, "")</f>
        <v>-7.0833333333333331E-2</v>
      </c>
      <c r="O162" s="16">
        <f>IF(ISNUMBER(M162), $B172 * N162, "")</f>
        <v>-21250</v>
      </c>
      <c r="Q162" s="287"/>
      <c r="R162" s="288"/>
      <c r="S162" s="289"/>
    </row>
    <row r="163" spans="1:19" ht="17.25" thickBot="1">
      <c r="A163" s="124" t="s">
        <v>240</v>
      </c>
      <c r="B163" s="125">
        <v>212</v>
      </c>
      <c r="C163" s="73">
        <v>0</v>
      </c>
      <c r="D163" s="15">
        <v>204</v>
      </c>
      <c r="E163" s="32">
        <f t="shared" ref="E163:E166" si="86">IF(ISNUMBER(D163), (D163 - $B163) / $B163, "")</f>
        <v>-3.7735849056603772E-2</v>
      </c>
      <c r="F163" s="18">
        <f>IF(ISNUMBER(D163), $B172 * E163, "")</f>
        <v>-11320.754716981131</v>
      </c>
      <c r="G163" s="31">
        <v>204</v>
      </c>
      <c r="H163" s="32">
        <f t="shared" ref="H163:H166" si="87">IF(ISNUMBER(G163), (G163 - $B163) / $B163, "")</f>
        <v>-3.7735849056603772E-2</v>
      </c>
      <c r="I163" s="97">
        <f>IF(ISNUMBER(G163), $B172 * H163, "")</f>
        <v>-11320.754716981131</v>
      </c>
      <c r="J163" s="15">
        <v>208</v>
      </c>
      <c r="K163" s="32">
        <f t="shared" ref="K163:K166" si="88">IF(ISNUMBER(J163), (J163 - $B163) / $B163, "")</f>
        <v>-1.8867924528301886E-2</v>
      </c>
      <c r="L163" s="18">
        <f>IF(ISNUMBER(J163), $B172 * K163, "")</f>
        <v>-5660.3773584905657</v>
      </c>
      <c r="M163" s="31">
        <v>196</v>
      </c>
      <c r="N163" s="32">
        <f t="shared" ref="N163:N166" si="89">IF(ISNUMBER(M163), (M163 - $B163) / $B163, "")</f>
        <v>-7.5471698113207544E-2</v>
      </c>
      <c r="O163" s="18">
        <f>IF(ISNUMBER(M163), $B172 * N163, "")</f>
        <v>-22641.509433962263</v>
      </c>
      <c r="Q163" s="290"/>
      <c r="R163" s="291"/>
      <c r="S163" s="292"/>
    </row>
    <row r="164" spans="1:19" ht="17.25" thickBot="1">
      <c r="A164" s="124" t="s">
        <v>212</v>
      </c>
      <c r="B164" s="125">
        <v>179</v>
      </c>
      <c r="C164" s="73">
        <v>0</v>
      </c>
      <c r="D164" s="15">
        <v>165</v>
      </c>
      <c r="E164" s="32">
        <f t="shared" si="86"/>
        <v>-7.8212290502793297E-2</v>
      </c>
      <c r="F164" s="18">
        <f>IF(ISNUMBER(D164), $B172 * E164, "")</f>
        <v>-23463.687150837988</v>
      </c>
      <c r="G164" s="31">
        <v>167</v>
      </c>
      <c r="H164" s="32">
        <f t="shared" si="87"/>
        <v>-6.7039106145251395E-2</v>
      </c>
      <c r="I164" s="97">
        <f>IF(ISNUMBER(G164), $B172 * H164, "")</f>
        <v>-20111.731843575417</v>
      </c>
      <c r="J164" s="15">
        <v>166</v>
      </c>
      <c r="K164" s="32">
        <f t="shared" si="88"/>
        <v>-7.2625698324022353E-2</v>
      </c>
      <c r="L164" s="18">
        <f>IF(ISNUMBER(J164), $B172 * K164, "")</f>
        <v>-21787.709497206706</v>
      </c>
      <c r="M164" s="31">
        <v>160</v>
      </c>
      <c r="N164" s="32">
        <f t="shared" si="89"/>
        <v>-0.10614525139664804</v>
      </c>
      <c r="O164" s="18">
        <f>IF(ISNUMBER(M164), $B172 * N164, "")</f>
        <v>-31843.575418994413</v>
      </c>
      <c r="Q164" s="275"/>
      <c r="R164" s="275"/>
      <c r="S164" s="275"/>
    </row>
    <row r="165" spans="1:19" ht="17.25" thickBot="1">
      <c r="A165" s="124" t="s">
        <v>250</v>
      </c>
      <c r="B165" s="125">
        <v>244</v>
      </c>
      <c r="C165" s="73">
        <v>0</v>
      </c>
      <c r="D165" s="15">
        <v>231</v>
      </c>
      <c r="E165" s="32">
        <f t="shared" si="86"/>
        <v>-5.3278688524590161E-2</v>
      </c>
      <c r="F165" s="18">
        <f>IF(ISNUMBER(D165), $B172 * E165, "")</f>
        <v>-15983.606557377048</v>
      </c>
      <c r="G165" s="31">
        <v>232</v>
      </c>
      <c r="H165" s="32">
        <f t="shared" si="87"/>
        <v>-4.9180327868852458E-2</v>
      </c>
      <c r="I165" s="97">
        <f>IF(ISNUMBER(G165), $B172 * H165, "")</f>
        <v>-14754.098360655737</v>
      </c>
      <c r="J165" s="15">
        <v>231</v>
      </c>
      <c r="K165" s="32">
        <f t="shared" si="88"/>
        <v>-5.3278688524590161E-2</v>
      </c>
      <c r="L165" s="18">
        <f>IF(ISNUMBER(J165), $B172 * K165, "")</f>
        <v>-15983.606557377048</v>
      </c>
      <c r="M165" s="31">
        <v>224</v>
      </c>
      <c r="N165" s="32">
        <f t="shared" si="89"/>
        <v>-8.1967213114754092E-2</v>
      </c>
      <c r="O165" s="18">
        <f>IF(ISNUMBER(M165), $B172 * N165, "")</f>
        <v>-24590.163934426229</v>
      </c>
      <c r="Q165" s="270"/>
      <c r="R165" s="270"/>
      <c r="S165" s="270"/>
    </row>
    <row r="166" spans="1:19" ht="17.25" thickBot="1">
      <c r="A166" s="126" t="s">
        <v>246</v>
      </c>
      <c r="B166" s="127">
        <v>443</v>
      </c>
      <c r="C166" s="74">
        <v>-2.2522522999999998E-3</v>
      </c>
      <c r="D166" s="20">
        <v>428</v>
      </c>
      <c r="E166" s="21">
        <f t="shared" si="86"/>
        <v>-3.3860045146726865E-2</v>
      </c>
      <c r="F166" s="22">
        <f>IF(ISNUMBER(D166), $B172 * E166, "")</f>
        <v>-10158.01354401806</v>
      </c>
      <c r="G166" s="30">
        <v>434</v>
      </c>
      <c r="H166" s="21">
        <f t="shared" si="87"/>
        <v>-2.0316027088036117E-2</v>
      </c>
      <c r="I166" s="101">
        <f>IF(ISNUMBER(G166), $B172 * H166, "")</f>
        <v>-6094.808126410835</v>
      </c>
      <c r="J166" s="20">
        <v>432</v>
      </c>
      <c r="K166" s="21">
        <f t="shared" si="88"/>
        <v>-2.4830699774266364E-2</v>
      </c>
      <c r="L166" s="22">
        <f>IF(ISNUMBER(J166), $B172 * K166, "")</f>
        <v>-7449.2099322799095</v>
      </c>
      <c r="M166" s="30">
        <v>420</v>
      </c>
      <c r="N166" s="21">
        <f t="shared" si="89"/>
        <v>-5.1918735891647853E-2</v>
      </c>
      <c r="O166" s="22">
        <f>IF(ISNUMBER(M166), $B172 * N166, "")</f>
        <v>-15575.620767494356</v>
      </c>
      <c r="Q166" s="270"/>
      <c r="R166" s="270"/>
      <c r="S166" s="270"/>
    </row>
    <row r="167" spans="1:19" ht="17.25" thickBot="1">
      <c r="A167" s="124" t="s">
        <v>202</v>
      </c>
      <c r="B167" s="128">
        <v>250</v>
      </c>
      <c r="C167" s="76">
        <v>-3.9840637000000002E-3</v>
      </c>
      <c r="D167" s="102">
        <v>231</v>
      </c>
      <c r="E167" s="103">
        <f>IF(ISNUMBER(D167), (D167 - $B167) / $B167, "")</f>
        <v>-7.5999999999999998E-2</v>
      </c>
      <c r="F167" s="104">
        <f>IF(ISNUMBER(D167), $B172 * E167, "")</f>
        <v>-22800</v>
      </c>
      <c r="G167" s="105">
        <v>236</v>
      </c>
      <c r="H167" s="103">
        <f>IF(ISNUMBER(G167), (G167 - $B167) / $B167, "")</f>
        <v>-5.6000000000000001E-2</v>
      </c>
      <c r="I167" s="106">
        <f>IF(ISNUMBER(G167), $B172 * H167, "")</f>
        <v>-16800</v>
      </c>
      <c r="J167" s="102">
        <v>234</v>
      </c>
      <c r="K167" s="103">
        <f>IF(ISNUMBER(J167), (J167 - $B167) / $B167, "")</f>
        <v>-6.4000000000000001E-2</v>
      </c>
      <c r="L167" s="104">
        <f>IF(ISNUMBER(J167), $B172 * K167, "")</f>
        <v>-19200</v>
      </c>
      <c r="M167" s="105">
        <v>226</v>
      </c>
      <c r="N167" s="103">
        <f>IF(ISNUMBER(M167), (M167 - $B167) / $B167, "")</f>
        <v>-9.6000000000000002E-2</v>
      </c>
      <c r="O167" s="104">
        <f>IF(ISNUMBER(M167), $B172 * N167, "")</f>
        <v>-28800</v>
      </c>
      <c r="Q167" s="275"/>
      <c r="R167" s="275"/>
      <c r="S167" s="275"/>
    </row>
    <row r="168" spans="1:19" ht="17.25" thickBot="1">
      <c r="A168" s="124" t="s">
        <v>174</v>
      </c>
      <c r="B168" s="125">
        <v>305</v>
      </c>
      <c r="C168" s="73">
        <v>-6.5146580000000004E-3</v>
      </c>
      <c r="D168" s="15">
        <v>294</v>
      </c>
      <c r="E168" s="32">
        <f t="shared" ref="E168:E171" si="90">IF(ISNUMBER(D168), (D168 - $B168) / $B168, "")</f>
        <v>-3.6065573770491806E-2</v>
      </c>
      <c r="F168" s="18">
        <f>IF(ISNUMBER(D168), $B172 * E168, "")</f>
        <v>-10819.672131147541</v>
      </c>
      <c r="G168" s="31">
        <v>295</v>
      </c>
      <c r="H168" s="32">
        <f t="shared" ref="H168:H171" si="91">IF(ISNUMBER(G168), (G168 - $B168) / $B168, "")</f>
        <v>-3.2786885245901641E-2</v>
      </c>
      <c r="I168" s="97">
        <f>IF(ISNUMBER(G168), $B172 * H168, "")</f>
        <v>-9836.0655737704928</v>
      </c>
      <c r="J168" s="15">
        <v>293</v>
      </c>
      <c r="K168" s="32">
        <f t="shared" ref="K168:K171" si="92">IF(ISNUMBER(J168), (J168 - $B168) / $B168, "")</f>
        <v>-3.9344262295081971E-2</v>
      </c>
      <c r="L168" s="18">
        <f>IF(ISNUMBER(J168), $B172 * K168, "")</f>
        <v>-11803.278688524591</v>
      </c>
      <c r="M168" s="31">
        <v>284</v>
      </c>
      <c r="N168" s="32">
        <f t="shared" ref="N168:N171" si="93">IF(ISNUMBER(M168), (M168 - $B168) / $B168, "")</f>
        <v>-6.8852459016393447E-2</v>
      </c>
      <c r="O168" s="18">
        <f>IF(ISNUMBER(M168), $B172 * N168, "")</f>
        <v>-20655.737704918036</v>
      </c>
      <c r="Q168" s="275"/>
      <c r="R168" s="275"/>
      <c r="S168" s="275"/>
    </row>
    <row r="169" spans="1:19" ht="17.25" thickBot="1">
      <c r="A169" s="124" t="s">
        <v>132</v>
      </c>
      <c r="B169" s="125">
        <v>258</v>
      </c>
      <c r="C169" s="73">
        <v>-7.6923076999999996E-3</v>
      </c>
      <c r="D169" s="15">
        <v>248</v>
      </c>
      <c r="E169" s="32">
        <f t="shared" si="90"/>
        <v>-3.875968992248062E-2</v>
      </c>
      <c r="F169" s="18">
        <f>IF(ISNUMBER(D169), $B172 * E169, "")</f>
        <v>-11627.906976744185</v>
      </c>
      <c r="G169" s="31">
        <v>251</v>
      </c>
      <c r="H169" s="32">
        <f t="shared" si="91"/>
        <v>-2.7131782945736434E-2</v>
      </c>
      <c r="I169" s="97">
        <f>IF(ISNUMBER(G169), $B172 * H169, "")</f>
        <v>-8139.5348837209303</v>
      </c>
      <c r="J169" s="15">
        <v>247</v>
      </c>
      <c r="K169" s="32">
        <f t="shared" si="92"/>
        <v>-4.2635658914728682E-2</v>
      </c>
      <c r="L169" s="18">
        <f>IF(ISNUMBER(J169), $B172 * K169, "")</f>
        <v>-12790.697674418605</v>
      </c>
      <c r="M169" s="31">
        <v>240</v>
      </c>
      <c r="N169" s="32">
        <f t="shared" si="93"/>
        <v>-6.9767441860465115E-2</v>
      </c>
      <c r="O169" s="18">
        <f>IF(ISNUMBER(M169), $B172 * N169, "")</f>
        <v>-20930.232558139534</v>
      </c>
      <c r="Q169" s="275"/>
      <c r="R169" s="275"/>
      <c r="S169" s="275"/>
    </row>
    <row r="170" spans="1:19">
      <c r="A170" s="124" t="s">
        <v>208</v>
      </c>
      <c r="B170" s="125">
        <v>550</v>
      </c>
      <c r="C170" s="73">
        <v>-9.0090090000000001E-3</v>
      </c>
      <c r="D170" s="15">
        <v>525</v>
      </c>
      <c r="E170" s="32">
        <f t="shared" si="90"/>
        <v>-4.5454545454545456E-2</v>
      </c>
      <c r="F170" s="18">
        <f>IF(ISNUMBER(D170), $B172 * E170, "")</f>
        <v>-13636.363636363636</v>
      </c>
      <c r="G170" s="31">
        <v>530</v>
      </c>
      <c r="H170" s="32">
        <f t="shared" si="91"/>
        <v>-3.6363636363636362E-2</v>
      </c>
      <c r="I170" s="97">
        <f>IF(ISNUMBER(G170), $B172 * H170, "")</f>
        <v>-10909.090909090908</v>
      </c>
      <c r="J170" s="15">
        <v>527</v>
      </c>
      <c r="K170" s="32">
        <f t="shared" si="92"/>
        <v>-4.1818181818181817E-2</v>
      </c>
      <c r="L170" s="18">
        <f>IF(ISNUMBER(J170), $B172 * K170, "")</f>
        <v>-12545.454545454546</v>
      </c>
      <c r="M170" s="31">
        <v>511</v>
      </c>
      <c r="N170" s="32">
        <f t="shared" si="93"/>
        <v>-7.0909090909090908E-2</v>
      </c>
      <c r="O170" s="18">
        <f>IF(ISNUMBER(M170), $B172 * N170, "")</f>
        <v>-21272.727272727272</v>
      </c>
      <c r="Q170" s="297"/>
      <c r="R170" s="298"/>
      <c r="S170" s="299"/>
    </row>
    <row r="171" spans="1:19" ht="17.25" thickBot="1">
      <c r="A171" s="129" t="s">
        <v>170</v>
      </c>
      <c r="B171" s="130">
        <v>549</v>
      </c>
      <c r="C171" s="75">
        <v>-9.0252708000000004E-3</v>
      </c>
      <c r="D171" s="24">
        <v>530</v>
      </c>
      <c r="E171" s="25">
        <f t="shared" si="90"/>
        <v>-3.4608378870673952E-2</v>
      </c>
      <c r="F171" s="100">
        <f>IF(ISNUMBER(D171), $B172 * E171, "")</f>
        <v>-10382.513661202185</v>
      </c>
      <c r="G171" s="98">
        <v>539</v>
      </c>
      <c r="H171" s="25">
        <f t="shared" si="91"/>
        <v>-1.8214936247723135E-2</v>
      </c>
      <c r="I171" s="99">
        <f>IF(ISNUMBER(G171), $B172 * H171, "")</f>
        <v>-5464.4808743169406</v>
      </c>
      <c r="J171" s="24">
        <v>536</v>
      </c>
      <c r="K171" s="25">
        <f t="shared" si="92"/>
        <v>-2.3679417122040074E-2</v>
      </c>
      <c r="L171" s="100">
        <f>IF(ISNUMBER(J171), $B172 * K171, "")</f>
        <v>-7103.8251366120221</v>
      </c>
      <c r="M171" s="98">
        <v>519</v>
      </c>
      <c r="N171" s="25">
        <f t="shared" si="93"/>
        <v>-5.4644808743169397E-2</v>
      </c>
      <c r="O171" s="100">
        <f>IF(ISNUMBER(M171), $B172 * N171, "")</f>
        <v>-16393.442622950821</v>
      </c>
      <c r="Q171" s="300"/>
      <c r="R171" s="301"/>
      <c r="S171" s="302"/>
    </row>
    <row r="172" spans="1:19" ht="17.25" thickBot="1">
      <c r="A172" s="131" t="s">
        <v>301</v>
      </c>
      <c r="B172" s="308">
        <f>$B$37</f>
        <v>300000</v>
      </c>
      <c r="C172" s="309"/>
      <c r="D172" s="26" t="s">
        <v>302</v>
      </c>
      <c r="E172" s="27">
        <f>IF(COUNT(E152:E171), SUM(E152:E171) / COUNT(E152:E171), 0)</f>
        <v>-4.1193206986274031E-2</v>
      </c>
      <c r="F172" s="28">
        <f>SUM(F152:F171)</f>
        <v>-247159.24191764425</v>
      </c>
      <c r="G172" s="26" t="s">
        <v>302</v>
      </c>
      <c r="H172" s="27">
        <f>IF(COUNT(H152:H171), SUM(H152:H171) / COUNT(H152:H171), 0)</f>
        <v>-3.4376212611173518E-2</v>
      </c>
      <c r="I172" s="28">
        <f>SUM(I152:I171)</f>
        <v>-206257.27566704105</v>
      </c>
      <c r="J172" s="26" t="s">
        <v>302</v>
      </c>
      <c r="K172" s="27">
        <f>IF(COUNT(K152:K171), SUM(K152:K171) / COUNT(K152:K171), 0)</f>
        <v>-3.9129740187851314E-2</v>
      </c>
      <c r="L172" s="28">
        <f>SUM(L152:L171)</f>
        <v>-234778.441127108</v>
      </c>
      <c r="M172" s="26" t="s">
        <v>302</v>
      </c>
      <c r="N172" s="27">
        <f>IF(COUNT(N152:N171), SUM(N152:N171) / COUNT(N152:N171), 0)</f>
        <v>-7.1070786565624905E-2</v>
      </c>
      <c r="O172" s="28">
        <f>SUM(O152:O171)</f>
        <v>-426424.71939374949</v>
      </c>
      <c r="Q172" s="303"/>
      <c r="R172" s="304"/>
      <c r="S172" s="305"/>
    </row>
    <row r="174" spans="1:19" ht="17.25" thickBot="1"/>
    <row r="175" spans="1:19" ht="17.25" thickBot="1">
      <c r="A175" s="249" t="s">
        <v>285</v>
      </c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50"/>
      <c r="M175" s="250"/>
      <c r="N175" s="250"/>
      <c r="O175" s="251"/>
      <c r="Q175" s="270"/>
      <c r="R175" s="270"/>
      <c r="S175" s="270"/>
    </row>
    <row r="176" spans="1:19" ht="17.25" thickBot="1">
      <c r="A176" s="112" t="s">
        <v>298</v>
      </c>
      <c r="B176" s="249" t="s">
        <v>49</v>
      </c>
      <c r="C176" s="251"/>
      <c r="D176" s="249" t="s">
        <v>58</v>
      </c>
      <c r="E176" s="250"/>
      <c r="F176" s="251"/>
      <c r="G176" s="276">
        <f>_xlfn.IFNA(VLOOKUP(B176, 현재가테이블!$B$2:$D$200, 2, FALSE), "-")</f>
        <v>60874000</v>
      </c>
      <c r="H176" s="277"/>
      <c r="I176" s="278"/>
      <c r="J176" s="249" t="s">
        <v>59</v>
      </c>
      <c r="K176" s="250"/>
      <c r="L176" s="251"/>
      <c r="M176" s="279">
        <f>_xlfn.IFNA(VLOOKUP(B176, 현재가테이블!$B$2:$D$200, 3, FALSE), "-")</f>
        <v>-1.4936000099999999E-2</v>
      </c>
      <c r="N176" s="280"/>
      <c r="O176" s="281"/>
      <c r="Q176" s="270"/>
      <c r="R176" s="270"/>
      <c r="S176" s="270"/>
    </row>
    <row r="177" spans="1:19" ht="17.25" thickBot="1">
      <c r="A177" s="310" t="s">
        <v>55</v>
      </c>
      <c r="B177" s="312" t="str">
        <f>TEXT($G$1, "[$-ko-KR]yyyy-mm-dd(ddd) ") &amp; "오전 00:00"</f>
        <v>2021-05-04(화) 오전 00:00</v>
      </c>
      <c r="C177" s="313"/>
      <c r="D177" s="272" t="str">
        <f>TEXT($G$1, "[$-ko-KR]yyyy-mm-dd(ddd) ") &amp; "오후 14:00"</f>
        <v>2021-05-04(화) 오후 14:00</v>
      </c>
      <c r="E177" s="273"/>
      <c r="F177" s="274"/>
      <c r="G177" s="272" t="str">
        <f>TEXT($G$1, "[$-ko-KR]yyyy-mm-dd(ddd) ") &amp; "오후 19:00"</f>
        <v>2021-05-04(화) 오후 19:00</v>
      </c>
      <c r="H177" s="273"/>
      <c r="I177" s="274"/>
      <c r="J177" s="272" t="str">
        <f>TEXT($G$1, "[$-ko-KR]yyyy-mm-dd(ddd) ") &amp; "오후 21:00"</f>
        <v>2021-05-04(화) 오후 21:00</v>
      </c>
      <c r="K177" s="273"/>
      <c r="L177" s="274"/>
      <c r="M177" s="272" t="str">
        <f>TEXT($G$1+1, "[$-ko-KR]yyyy-mm-dd(ddd) ") &amp; "오전 00:00"</f>
        <v>2021-05-05(수) 오전 00:00</v>
      </c>
      <c r="N177" s="273"/>
      <c r="O177" s="274"/>
      <c r="Q177" s="270"/>
      <c r="R177" s="270"/>
      <c r="S177" s="270"/>
    </row>
    <row r="178" spans="1:19" ht="17.25" thickBot="1">
      <c r="A178" s="311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13" t="s">
        <v>58</v>
      </c>
      <c r="H178" s="114" t="s">
        <v>299</v>
      </c>
      <c r="I178" s="115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75"/>
      <c r="R178" s="275"/>
      <c r="S178" s="275"/>
    </row>
    <row r="179" spans="1:19" ht="17.25" thickBot="1">
      <c r="A179" s="122" t="s">
        <v>74</v>
      </c>
      <c r="B179" s="123">
        <v>27900</v>
      </c>
      <c r="C179" s="72">
        <v>0</v>
      </c>
      <c r="D179" s="13">
        <v>27550</v>
      </c>
      <c r="E179" s="14">
        <f>IF(ISNUMBER(D179), (D179 - $B179) / $B179, "")</f>
        <v>-1.2544802867383513E-2</v>
      </c>
      <c r="F179" s="16">
        <f>IF(ISNUMBER(D179), $B199 * E179, "")</f>
        <v>-3763.4408602150538</v>
      </c>
      <c r="G179" s="29">
        <v>28570</v>
      </c>
      <c r="H179" s="14">
        <f>IF(ISNUMBER(G179), (G179 - $B179) / $B179, "")</f>
        <v>2.4014336917562724E-2</v>
      </c>
      <c r="I179" s="96">
        <f>IF(ISNUMBER(G179), $B199 * H179, "")</f>
        <v>7204.3010752688169</v>
      </c>
      <c r="J179" s="13">
        <v>28300</v>
      </c>
      <c r="K179" s="14">
        <f>IF(ISNUMBER(J179), (J179 - $B179) / $B179, "")</f>
        <v>1.4336917562724014E-2</v>
      </c>
      <c r="L179" s="16">
        <f>IF(ISNUMBER(J179), $B199 * K179, "")</f>
        <v>4301.0752688172042</v>
      </c>
      <c r="M179" s="29">
        <v>28010</v>
      </c>
      <c r="N179" s="14">
        <f>IF(ISNUMBER(M179), (M179 - $B179) / $B179, "")</f>
        <v>3.9426523297491044E-3</v>
      </c>
      <c r="O179" s="16">
        <f>IF(ISNUMBER(M179), $B199 * N179, "")</f>
        <v>1182.7956989247314</v>
      </c>
      <c r="Q179" s="270"/>
      <c r="R179" s="270"/>
      <c r="S179" s="270"/>
    </row>
    <row r="180" spans="1:19" ht="17.25" thickBot="1">
      <c r="A180" s="124" t="s">
        <v>228</v>
      </c>
      <c r="B180" s="125">
        <v>21.1</v>
      </c>
      <c r="C180" s="73">
        <v>0</v>
      </c>
      <c r="D180" s="15">
        <v>20.100000000000001</v>
      </c>
      <c r="E180" s="32">
        <f t="shared" ref="E180:E183" si="94">IF(ISNUMBER(D180), (D180 - $B180) / $B180, "")</f>
        <v>-4.7393364928909949E-2</v>
      </c>
      <c r="F180" s="18">
        <f>IF(ISNUMBER(D180), $B199 * E180, "")</f>
        <v>-14218.009478672984</v>
      </c>
      <c r="G180" s="31">
        <v>20.2</v>
      </c>
      <c r="H180" s="32">
        <f t="shared" ref="H180:H183" si="95">IF(ISNUMBER(G180), (G180 - $B180) / $B180, "")</f>
        <v>-4.2654028436019058E-2</v>
      </c>
      <c r="I180" s="97">
        <f>IF(ISNUMBER(G180), $B199 * H180, "")</f>
        <v>-12796.208530805718</v>
      </c>
      <c r="J180" s="15">
        <v>20.2</v>
      </c>
      <c r="K180" s="32">
        <f t="shared" ref="K180:K183" si="96">IF(ISNUMBER(J180), (J180 - $B180) / $B180, "")</f>
        <v>-4.2654028436019058E-2</v>
      </c>
      <c r="L180" s="18">
        <f>IF(ISNUMBER(J180), $B199 * K180, "")</f>
        <v>-12796.208530805718</v>
      </c>
      <c r="M180" s="31">
        <v>19.5</v>
      </c>
      <c r="N180" s="32">
        <f t="shared" ref="N180:N183" si="97">IF(ISNUMBER(M180), (M180 - $B180) / $B180, "")</f>
        <v>-7.5829383886255985E-2</v>
      </c>
      <c r="O180" s="18">
        <f>IF(ISNUMBER(M180), $B199 * N180, "")</f>
        <v>-22748.815165876797</v>
      </c>
      <c r="Q180" s="270"/>
      <c r="R180" s="270"/>
      <c r="S180" s="270"/>
    </row>
    <row r="181" spans="1:19" ht="17.25" thickBot="1">
      <c r="A181" s="124" t="s">
        <v>212</v>
      </c>
      <c r="B181" s="125">
        <v>179</v>
      </c>
      <c r="C181" s="73">
        <v>0</v>
      </c>
      <c r="D181" s="15">
        <v>165</v>
      </c>
      <c r="E181" s="32">
        <f t="shared" si="94"/>
        <v>-7.8212290502793297E-2</v>
      </c>
      <c r="F181" s="18">
        <f>IF(ISNUMBER(D181), $B199 * E181, "")</f>
        <v>-23463.687150837988</v>
      </c>
      <c r="G181" s="31">
        <v>167</v>
      </c>
      <c r="H181" s="32">
        <f t="shared" si="95"/>
        <v>-6.7039106145251395E-2</v>
      </c>
      <c r="I181" s="97">
        <f>IF(ISNUMBER(G181), $B199 * H181, "")</f>
        <v>-20111.731843575417</v>
      </c>
      <c r="J181" s="15">
        <v>166</v>
      </c>
      <c r="K181" s="32">
        <f t="shared" si="96"/>
        <v>-7.2625698324022353E-2</v>
      </c>
      <c r="L181" s="18">
        <f>IF(ISNUMBER(J181), $B199 * K181, "")</f>
        <v>-21787.709497206706</v>
      </c>
      <c r="M181" s="31">
        <v>160</v>
      </c>
      <c r="N181" s="32">
        <f t="shared" si="97"/>
        <v>-0.10614525139664804</v>
      </c>
      <c r="O181" s="18">
        <f>IF(ISNUMBER(M181), $B199 * N181, "")</f>
        <v>-31843.575418994413</v>
      </c>
      <c r="Q181" s="275"/>
      <c r="R181" s="275"/>
      <c r="S181" s="275"/>
    </row>
    <row r="182" spans="1:19" ht="17.25" thickBot="1">
      <c r="A182" s="124" t="s">
        <v>222</v>
      </c>
      <c r="B182" s="125">
        <v>20.7</v>
      </c>
      <c r="C182" s="73">
        <v>0</v>
      </c>
      <c r="D182" s="15">
        <v>20</v>
      </c>
      <c r="E182" s="32">
        <f t="shared" si="94"/>
        <v>-3.3816425120772917E-2</v>
      </c>
      <c r="F182" s="18">
        <f>IF(ISNUMBER(D182), $B199 * E182, "")</f>
        <v>-10144.927536231875</v>
      </c>
      <c r="G182" s="31">
        <v>20.100000000000001</v>
      </c>
      <c r="H182" s="32">
        <f t="shared" si="95"/>
        <v>-2.8985507246376711E-2</v>
      </c>
      <c r="I182" s="97">
        <f>IF(ISNUMBER(G182), $B199 * H182, "")</f>
        <v>-8695.652173913013</v>
      </c>
      <c r="J182" s="15">
        <v>20.100000000000001</v>
      </c>
      <c r="K182" s="32">
        <f t="shared" si="96"/>
        <v>-2.8985507246376711E-2</v>
      </c>
      <c r="L182" s="18">
        <f>IF(ISNUMBER(J182), $B199 * K182, "")</f>
        <v>-8695.652173913013</v>
      </c>
      <c r="M182" s="31">
        <v>19.3</v>
      </c>
      <c r="N182" s="32">
        <f t="shared" si="97"/>
        <v>-6.7632850241545833E-2</v>
      </c>
      <c r="O182" s="18">
        <f>IF(ISNUMBER(M182), $B199 * N182, "")</f>
        <v>-20289.85507246375</v>
      </c>
      <c r="Q182" s="275"/>
      <c r="R182" s="275"/>
      <c r="S182" s="275"/>
    </row>
    <row r="183" spans="1:19" ht="17.25" thickBot="1">
      <c r="A183" s="126" t="s">
        <v>198</v>
      </c>
      <c r="B183" s="127">
        <v>32.4</v>
      </c>
      <c r="C183" s="74">
        <v>0</v>
      </c>
      <c r="D183" s="20">
        <v>30.9</v>
      </c>
      <c r="E183" s="21">
        <f t="shared" si="94"/>
        <v>-4.6296296296296301E-2</v>
      </c>
      <c r="F183" s="22">
        <f>IF(ISNUMBER(D183), $B199 * E183, "")</f>
        <v>-13888.888888888891</v>
      </c>
      <c r="G183" s="30">
        <v>31.1</v>
      </c>
      <c r="H183" s="21">
        <f t="shared" si="95"/>
        <v>-4.0123456790123371E-2</v>
      </c>
      <c r="I183" s="101">
        <f>IF(ISNUMBER(G183), $B199 * H183, "")</f>
        <v>-12037.037037037011</v>
      </c>
      <c r="J183" s="20">
        <v>31</v>
      </c>
      <c r="K183" s="21">
        <f t="shared" si="96"/>
        <v>-4.3209876543209833E-2</v>
      </c>
      <c r="L183" s="22">
        <f>IF(ISNUMBER(J183), $B199 * K183, "")</f>
        <v>-12962.962962962949</v>
      </c>
      <c r="M183" s="30">
        <v>29.9</v>
      </c>
      <c r="N183" s="21">
        <f t="shared" si="97"/>
        <v>-7.7160493827160503E-2</v>
      </c>
      <c r="O183" s="22">
        <f>IF(ISNUMBER(M183), $B199 * N183, "")</f>
        <v>-23148.14814814815</v>
      </c>
      <c r="Q183" s="275"/>
      <c r="R183" s="275"/>
      <c r="S183" s="275"/>
    </row>
    <row r="184" spans="1:19" ht="17.25" thickBot="1">
      <c r="A184" s="124" t="s">
        <v>162</v>
      </c>
      <c r="B184" s="128">
        <v>2205</v>
      </c>
      <c r="C184" s="76">
        <v>0</v>
      </c>
      <c r="D184" s="102">
        <v>2145</v>
      </c>
      <c r="E184" s="103">
        <f>IF(ISNUMBER(D184), (D184 - $B184) / $B184, "")</f>
        <v>-2.7210884353741496E-2</v>
      </c>
      <c r="F184" s="104">
        <f>IF(ISNUMBER(D184), $B199 * E184, "")</f>
        <v>-8163.2653061224482</v>
      </c>
      <c r="G184" s="105">
        <v>2140</v>
      </c>
      <c r="H184" s="103">
        <f>IF(ISNUMBER(G184), (G184 - $B184) / $B184, "")</f>
        <v>-2.9478458049886622E-2</v>
      </c>
      <c r="I184" s="106">
        <f>IF(ISNUMBER(G184), $B199 * H184, "")</f>
        <v>-8843.5374149659856</v>
      </c>
      <c r="J184" s="102">
        <v>2130</v>
      </c>
      <c r="K184" s="103">
        <f>IF(ISNUMBER(J184), (J184 - $B184) / $B184, "")</f>
        <v>-3.4013605442176874E-2</v>
      </c>
      <c r="L184" s="104">
        <f>IF(ISNUMBER(J184), $B199 * K184, "")</f>
        <v>-10204.081632653062</v>
      </c>
      <c r="M184" s="105">
        <v>2065</v>
      </c>
      <c r="N184" s="103">
        <f>IF(ISNUMBER(M184), (M184 - $B184) / $B184, "")</f>
        <v>-6.3492063492063489E-2</v>
      </c>
      <c r="O184" s="104">
        <f>IF(ISNUMBER(M184), $B199 * N184, "")</f>
        <v>-19047.619047619046</v>
      </c>
      <c r="Q184" s="275"/>
      <c r="R184" s="275"/>
      <c r="S184" s="275"/>
    </row>
    <row r="185" spans="1:19" ht="17.25" thickBot="1">
      <c r="A185" s="124" t="s">
        <v>250</v>
      </c>
      <c r="B185" s="125">
        <v>244</v>
      </c>
      <c r="C185" s="73">
        <v>0</v>
      </c>
      <c r="D185" s="15">
        <v>231</v>
      </c>
      <c r="E185" s="32">
        <f t="shared" ref="E185:E188" si="98">IF(ISNUMBER(D185), (D185 - $B185) / $B185, "")</f>
        <v>-5.3278688524590161E-2</v>
      </c>
      <c r="F185" s="18">
        <f>IF(ISNUMBER(D185), $B199 * E185, "")</f>
        <v>-15983.606557377048</v>
      </c>
      <c r="G185" s="31">
        <v>232</v>
      </c>
      <c r="H185" s="32">
        <f t="shared" ref="H185:H188" si="99">IF(ISNUMBER(G185), (G185 - $B185) / $B185, "")</f>
        <v>-4.9180327868852458E-2</v>
      </c>
      <c r="I185" s="97">
        <f>IF(ISNUMBER(G185), $B199 * H185, "")</f>
        <v>-14754.098360655737</v>
      </c>
      <c r="J185" s="15">
        <v>231</v>
      </c>
      <c r="K185" s="32">
        <f t="shared" ref="K185:K188" si="100">IF(ISNUMBER(J185), (J185 - $B185) / $B185, "")</f>
        <v>-5.3278688524590161E-2</v>
      </c>
      <c r="L185" s="18">
        <f>IF(ISNUMBER(J185), $B199 * K185, "")</f>
        <v>-15983.606557377048</v>
      </c>
      <c r="M185" s="31">
        <v>224</v>
      </c>
      <c r="N185" s="32">
        <f t="shared" ref="N185:N188" si="101">IF(ISNUMBER(M185), (M185 - $B185) / $B185, "")</f>
        <v>-8.1967213114754092E-2</v>
      </c>
      <c r="O185" s="18">
        <f>IF(ISNUMBER(M185), $B199 * N185, "")</f>
        <v>-24590.163934426229</v>
      </c>
      <c r="Q185" s="275"/>
      <c r="R185" s="275"/>
      <c r="S185" s="275"/>
    </row>
    <row r="186" spans="1:19" ht="17.25" thickBot="1">
      <c r="A186" s="124" t="s">
        <v>152</v>
      </c>
      <c r="B186" s="125">
        <v>49.8</v>
      </c>
      <c r="C186" s="73">
        <v>-2.0040079999999998E-3</v>
      </c>
      <c r="D186" s="15">
        <v>47.6</v>
      </c>
      <c r="E186" s="32">
        <f t="shared" si="98"/>
        <v>-4.4176706827309155E-2</v>
      </c>
      <c r="F186" s="18">
        <f>IF(ISNUMBER(D186), $B199 * E186, "")</f>
        <v>-13253.012048192746</v>
      </c>
      <c r="G186" s="31">
        <v>48</v>
      </c>
      <c r="H186" s="32">
        <f t="shared" si="99"/>
        <v>-3.6144578313252955E-2</v>
      </c>
      <c r="I186" s="97">
        <f>IF(ISNUMBER(G186), $B199 * H186, "")</f>
        <v>-10843.373493975887</v>
      </c>
      <c r="J186" s="15">
        <v>47.8</v>
      </c>
      <c r="K186" s="32">
        <f t="shared" si="100"/>
        <v>-4.0160642570281124E-2</v>
      </c>
      <c r="L186" s="18">
        <f>IF(ISNUMBER(J186), $B199 * K186, "")</f>
        <v>-12048.192771084337</v>
      </c>
      <c r="M186" s="31">
        <v>45.6</v>
      </c>
      <c r="N186" s="32">
        <f t="shared" si="101"/>
        <v>-8.4337349397590286E-2</v>
      </c>
      <c r="O186" s="18">
        <f>IF(ISNUMBER(M186), $B199 * N186, "")</f>
        <v>-25301.204819277085</v>
      </c>
      <c r="Q186" s="275"/>
      <c r="R186" s="275"/>
      <c r="S186" s="275"/>
    </row>
    <row r="187" spans="1:19" ht="17.25" thickBot="1">
      <c r="A187" s="124" t="s">
        <v>246</v>
      </c>
      <c r="B187" s="125">
        <v>443</v>
      </c>
      <c r="C187" s="73">
        <v>-2.2522522999999998E-3</v>
      </c>
      <c r="D187" s="15">
        <v>428</v>
      </c>
      <c r="E187" s="32">
        <f t="shared" si="98"/>
        <v>-3.3860045146726865E-2</v>
      </c>
      <c r="F187" s="18">
        <f>IF(ISNUMBER(D187), $B199 * E187, "")</f>
        <v>-10158.01354401806</v>
      </c>
      <c r="G187" s="31">
        <v>434</v>
      </c>
      <c r="H187" s="32">
        <f t="shared" si="99"/>
        <v>-2.0316027088036117E-2</v>
      </c>
      <c r="I187" s="97">
        <f>IF(ISNUMBER(G187), $B199 * H187, "")</f>
        <v>-6094.808126410835</v>
      </c>
      <c r="J187" s="15">
        <v>432</v>
      </c>
      <c r="K187" s="32">
        <f t="shared" si="100"/>
        <v>-2.4830699774266364E-2</v>
      </c>
      <c r="L187" s="18">
        <f>IF(ISNUMBER(J187), $B199 * K187, "")</f>
        <v>-7449.2099322799095</v>
      </c>
      <c r="M187" s="31">
        <v>420</v>
      </c>
      <c r="N187" s="32">
        <f t="shared" si="101"/>
        <v>-5.1918735891647853E-2</v>
      </c>
      <c r="O187" s="18">
        <f>IF(ISNUMBER(M187), $B199 * N187, "")</f>
        <v>-15575.620767494356</v>
      </c>
      <c r="Q187" s="33"/>
      <c r="R187" s="33"/>
    </row>
    <row r="188" spans="1:19" ht="17.25" thickBot="1">
      <c r="A188" s="129" t="s">
        <v>218</v>
      </c>
      <c r="B188" s="130">
        <v>32.799999999999997</v>
      </c>
      <c r="C188" s="75">
        <v>-3.0395137E-3</v>
      </c>
      <c r="D188" s="24">
        <v>31.3</v>
      </c>
      <c r="E188" s="25">
        <f t="shared" si="98"/>
        <v>-4.5731707317073066E-2</v>
      </c>
      <c r="F188" s="100">
        <f>IF(ISNUMBER(D188), $B199 * E188, "")</f>
        <v>-13719.512195121919</v>
      </c>
      <c r="G188" s="98">
        <v>31.8</v>
      </c>
      <c r="H188" s="25">
        <f t="shared" si="99"/>
        <v>-3.0487804878048676E-2</v>
      </c>
      <c r="I188" s="99">
        <f>IF(ISNUMBER(G188), $B199 * H188, "")</f>
        <v>-9146.3414634146029</v>
      </c>
      <c r="J188" s="24">
        <v>31.4</v>
      </c>
      <c r="K188" s="25">
        <f t="shared" si="100"/>
        <v>-4.2682926829268254E-2</v>
      </c>
      <c r="L188" s="100">
        <f>IF(ISNUMBER(J188), $B199 * K188, "")</f>
        <v>-12804.878048780476</v>
      </c>
      <c r="M188" s="98">
        <v>30.3</v>
      </c>
      <c r="N188" s="25">
        <f t="shared" si="101"/>
        <v>-7.6219512195121852E-2</v>
      </c>
      <c r="O188" s="100">
        <f>IF(ISNUMBER(M188), $B199 * N188, "")</f>
        <v>-22865.853658536555</v>
      </c>
      <c r="Q188" s="284"/>
      <c r="R188" s="285"/>
      <c r="S188" s="286"/>
    </row>
    <row r="189" spans="1:19">
      <c r="A189" s="122" t="s">
        <v>110</v>
      </c>
      <c r="B189" s="123">
        <v>3020</v>
      </c>
      <c r="C189" s="72">
        <v>-3.3003300000000002E-3</v>
      </c>
      <c r="D189" s="13">
        <v>2910</v>
      </c>
      <c r="E189" s="14">
        <f>IF(ISNUMBER(D189), (D189 - $B189) / $B189, "")</f>
        <v>-3.6423841059602648E-2</v>
      </c>
      <c r="F189" s="16">
        <f>IF(ISNUMBER(D189), $B199 * E189, "")</f>
        <v>-10927.152317880795</v>
      </c>
      <c r="G189" s="29">
        <v>2940</v>
      </c>
      <c r="H189" s="14">
        <f>IF(ISNUMBER(G189), (G189 - $B189) / $B189, "")</f>
        <v>-2.6490066225165563E-2</v>
      </c>
      <c r="I189" s="96">
        <f>IF(ISNUMBER(G189), $B199 * H189, "")</f>
        <v>-7947.0198675496686</v>
      </c>
      <c r="J189" s="13">
        <v>2910</v>
      </c>
      <c r="K189" s="14">
        <f>IF(ISNUMBER(J189), (J189 - $B189) / $B189, "")</f>
        <v>-3.6423841059602648E-2</v>
      </c>
      <c r="L189" s="16">
        <f>IF(ISNUMBER(J189), $B199 * K189, "")</f>
        <v>-10927.152317880795</v>
      </c>
      <c r="M189" s="29">
        <v>2790</v>
      </c>
      <c r="N189" s="14">
        <f>IF(ISNUMBER(M189), (M189 - $B189) / $B189, "")</f>
        <v>-7.6158940397350994E-2</v>
      </c>
      <c r="O189" s="16">
        <f>IF(ISNUMBER(M189), $B199 * N189, "")</f>
        <v>-22847.682119205299</v>
      </c>
      <c r="Q189" s="287"/>
      <c r="R189" s="288"/>
      <c r="S189" s="289"/>
    </row>
    <row r="190" spans="1:19" ht="17.25" thickBot="1">
      <c r="A190" s="124" t="s">
        <v>158</v>
      </c>
      <c r="B190" s="125">
        <v>11230</v>
      </c>
      <c r="C190" s="73">
        <v>-3.5492458000000002E-3</v>
      </c>
      <c r="D190" s="15">
        <v>11070</v>
      </c>
      <c r="E190" s="32">
        <f t="shared" ref="E190:E193" si="102">IF(ISNUMBER(D190), (D190 - $B190) / $B190, "")</f>
        <v>-1.4247551202137132E-2</v>
      </c>
      <c r="F190" s="18">
        <f>IF(ISNUMBER(D190), $B199 * E190, "")</f>
        <v>-4274.2653606411395</v>
      </c>
      <c r="G190" s="31">
        <v>11320</v>
      </c>
      <c r="H190" s="32">
        <f t="shared" ref="H190:H193" si="103">IF(ISNUMBER(G190), (G190 - $B190) / $B190, "")</f>
        <v>8.0142475512021364E-3</v>
      </c>
      <c r="I190" s="97">
        <f>IF(ISNUMBER(G190), $B199 * H190, "")</f>
        <v>2404.274265360641</v>
      </c>
      <c r="J190" s="15">
        <v>11330</v>
      </c>
      <c r="K190" s="32">
        <f t="shared" ref="K190:K193" si="104">IF(ISNUMBER(J190), (J190 - $B190) / $B190, "")</f>
        <v>8.9047195013357075E-3</v>
      </c>
      <c r="L190" s="18">
        <f>IF(ISNUMBER(J190), $B199 * K190, "")</f>
        <v>2671.4158504007123</v>
      </c>
      <c r="M190" s="31">
        <v>10840</v>
      </c>
      <c r="N190" s="32">
        <f t="shared" ref="N190:N193" si="105">IF(ISNUMBER(M190), (M190 - $B190) / $B190, "")</f>
        <v>-3.4728406055209264E-2</v>
      </c>
      <c r="O190" s="18">
        <f>IF(ISNUMBER(M190), $B199 * N190, "")</f>
        <v>-10418.521816562779</v>
      </c>
      <c r="Q190" s="290"/>
      <c r="R190" s="291"/>
      <c r="S190" s="292"/>
    </row>
    <row r="191" spans="1:19" ht="17.25" thickBot="1">
      <c r="A191" s="124" t="s">
        <v>202</v>
      </c>
      <c r="B191" s="125">
        <v>250</v>
      </c>
      <c r="C191" s="73">
        <v>-3.9840637000000002E-3</v>
      </c>
      <c r="D191" s="15">
        <v>231</v>
      </c>
      <c r="E191" s="32">
        <f t="shared" si="102"/>
        <v>-7.5999999999999998E-2</v>
      </c>
      <c r="F191" s="18">
        <f>IF(ISNUMBER(D191), $B199 * E191, "")</f>
        <v>-22800</v>
      </c>
      <c r="G191" s="31">
        <v>236</v>
      </c>
      <c r="H191" s="32">
        <f t="shared" si="103"/>
        <v>-5.6000000000000001E-2</v>
      </c>
      <c r="I191" s="97">
        <f>IF(ISNUMBER(G191), $B199 * H191, "")</f>
        <v>-16800</v>
      </c>
      <c r="J191" s="15">
        <v>234</v>
      </c>
      <c r="K191" s="32">
        <f t="shared" si="104"/>
        <v>-6.4000000000000001E-2</v>
      </c>
      <c r="L191" s="18">
        <f>IF(ISNUMBER(J191), $B199 * K191, "")</f>
        <v>-19200</v>
      </c>
      <c r="M191" s="31">
        <v>226</v>
      </c>
      <c r="N191" s="32">
        <f t="shared" si="105"/>
        <v>-9.6000000000000002E-2</v>
      </c>
      <c r="O191" s="18">
        <f>IF(ISNUMBER(M191), $B199 * N191, "")</f>
        <v>-28800</v>
      </c>
      <c r="Q191" s="275"/>
      <c r="R191" s="275"/>
      <c r="S191" s="275"/>
    </row>
    <row r="192" spans="1:19" ht="17.25" thickBot="1">
      <c r="A192" s="124" t="s">
        <v>92</v>
      </c>
      <c r="B192" s="125">
        <v>1880</v>
      </c>
      <c r="C192" s="73">
        <v>-5.2910053000000002E-3</v>
      </c>
      <c r="D192" s="15">
        <v>1835</v>
      </c>
      <c r="E192" s="32">
        <f t="shared" si="102"/>
        <v>-2.3936170212765957E-2</v>
      </c>
      <c r="F192" s="18">
        <f>IF(ISNUMBER(D192), $B199 * E192, "")</f>
        <v>-7180.8510638297876</v>
      </c>
      <c r="G192" s="31">
        <v>1840</v>
      </c>
      <c r="H192" s="32">
        <f t="shared" si="103"/>
        <v>-2.1276595744680851E-2</v>
      </c>
      <c r="I192" s="97">
        <f>IF(ISNUMBER(G192), $B199 * H192, "")</f>
        <v>-6382.9787234042551</v>
      </c>
      <c r="J192" s="15">
        <v>1820</v>
      </c>
      <c r="K192" s="32">
        <f t="shared" si="104"/>
        <v>-3.1914893617021274E-2</v>
      </c>
      <c r="L192" s="18">
        <f>IF(ISNUMBER(J192), $B199 * K192, "")</f>
        <v>-9574.4680851063822</v>
      </c>
      <c r="M192" s="31">
        <v>1770</v>
      </c>
      <c r="N192" s="32">
        <f t="shared" si="105"/>
        <v>-5.8510638297872342E-2</v>
      </c>
      <c r="O192" s="18">
        <f>IF(ISNUMBER(M192), $B199 * N192, "")</f>
        <v>-17553.191489361703</v>
      </c>
      <c r="Q192" s="270"/>
      <c r="R192" s="270"/>
      <c r="S192" s="270"/>
    </row>
    <row r="193" spans="1:19" ht="17.25" thickBot="1">
      <c r="A193" s="126" t="s">
        <v>174</v>
      </c>
      <c r="B193" s="127">
        <v>305</v>
      </c>
      <c r="C193" s="74">
        <v>-6.5146580000000004E-3</v>
      </c>
      <c r="D193" s="20">
        <v>294</v>
      </c>
      <c r="E193" s="21">
        <f t="shared" si="102"/>
        <v>-3.6065573770491806E-2</v>
      </c>
      <c r="F193" s="22">
        <f>IF(ISNUMBER(D193), $B199 * E193, "")</f>
        <v>-10819.672131147541</v>
      </c>
      <c r="G193" s="30">
        <v>295</v>
      </c>
      <c r="H193" s="21">
        <f t="shared" si="103"/>
        <v>-3.2786885245901641E-2</v>
      </c>
      <c r="I193" s="101">
        <f>IF(ISNUMBER(G193), $B199 * H193, "")</f>
        <v>-9836.0655737704928</v>
      </c>
      <c r="J193" s="20">
        <v>293</v>
      </c>
      <c r="K193" s="21">
        <f t="shared" si="104"/>
        <v>-3.9344262295081971E-2</v>
      </c>
      <c r="L193" s="22">
        <f>IF(ISNUMBER(J193), $B199 * K193, "")</f>
        <v>-11803.278688524591</v>
      </c>
      <c r="M193" s="30">
        <v>284</v>
      </c>
      <c r="N193" s="21">
        <f t="shared" si="105"/>
        <v>-6.8852459016393447E-2</v>
      </c>
      <c r="O193" s="22">
        <f>IF(ISNUMBER(M193), $B199 * N193, "")</f>
        <v>-20655.737704918036</v>
      </c>
      <c r="Q193" s="270"/>
      <c r="R193" s="270"/>
      <c r="S193" s="270"/>
    </row>
    <row r="194" spans="1:19" ht="17.25" thickBot="1">
      <c r="A194" s="124" t="s">
        <v>126</v>
      </c>
      <c r="B194" s="128">
        <v>68.7</v>
      </c>
      <c r="C194" s="76">
        <v>-7.2254334999999996E-3</v>
      </c>
      <c r="D194" s="102">
        <v>65.7</v>
      </c>
      <c r="E194" s="103">
        <f>IF(ISNUMBER(D194), (D194 - $B194) / $B194, "")</f>
        <v>-4.3668122270742356E-2</v>
      </c>
      <c r="F194" s="104">
        <f>IF(ISNUMBER(D194), $B199 * E194, "")</f>
        <v>-13100.436681222707</v>
      </c>
      <c r="G194" s="105">
        <v>66.099999999999994</v>
      </c>
      <c r="H194" s="103">
        <f>IF(ISNUMBER(G194), (G194 - $B194) / $B194, "")</f>
        <v>-3.7845705967976831E-2</v>
      </c>
      <c r="I194" s="106">
        <f>IF(ISNUMBER(G194), $B199 * H194, "")</f>
        <v>-11353.711790393048</v>
      </c>
      <c r="J194" s="102">
        <v>65.7</v>
      </c>
      <c r="K194" s="103">
        <f>IF(ISNUMBER(J194), (J194 - $B194) / $B194, "")</f>
        <v>-4.3668122270742356E-2</v>
      </c>
      <c r="L194" s="104">
        <f>IF(ISNUMBER(J194), $B199 * K194, "")</f>
        <v>-13100.436681222707</v>
      </c>
      <c r="M194" s="105">
        <v>63.1</v>
      </c>
      <c r="N194" s="103">
        <f>IF(ISNUMBER(M194), (M194 - $B194) / $B194, "")</f>
        <v>-8.1513828238719083E-2</v>
      </c>
      <c r="O194" s="104">
        <f>IF(ISNUMBER(M194), $B199 * N194, "")</f>
        <v>-24454.148471615725</v>
      </c>
      <c r="Q194" s="275"/>
      <c r="R194" s="275"/>
      <c r="S194" s="275"/>
    </row>
    <row r="195" spans="1:19" ht="17.25" thickBot="1">
      <c r="A195" s="124" t="s">
        <v>132</v>
      </c>
      <c r="B195" s="125">
        <v>258</v>
      </c>
      <c r="C195" s="73">
        <v>-7.6923076999999996E-3</v>
      </c>
      <c r="D195" s="15">
        <v>248</v>
      </c>
      <c r="E195" s="32">
        <f t="shared" ref="E195:E198" si="106">IF(ISNUMBER(D195), (D195 - $B195) / $B195, "")</f>
        <v>-3.875968992248062E-2</v>
      </c>
      <c r="F195" s="18">
        <f>IF(ISNUMBER(D195), $B199 * E195, "")</f>
        <v>-11627.906976744185</v>
      </c>
      <c r="G195" s="31">
        <v>251</v>
      </c>
      <c r="H195" s="32">
        <f t="shared" ref="H195:H198" si="107">IF(ISNUMBER(G195), (G195 - $B195) / $B195, "")</f>
        <v>-2.7131782945736434E-2</v>
      </c>
      <c r="I195" s="97">
        <f>IF(ISNUMBER(G195), $B199 * H195, "")</f>
        <v>-8139.5348837209303</v>
      </c>
      <c r="J195" s="15">
        <v>247</v>
      </c>
      <c r="K195" s="32">
        <f t="shared" ref="K195:K198" si="108">IF(ISNUMBER(J195), (J195 - $B195) / $B195, "")</f>
        <v>-4.2635658914728682E-2</v>
      </c>
      <c r="L195" s="18">
        <f>IF(ISNUMBER(J195), $B199 * K195, "")</f>
        <v>-12790.697674418605</v>
      </c>
      <c r="M195" s="31">
        <v>240</v>
      </c>
      <c r="N195" s="32">
        <f t="shared" ref="N195:N198" si="109">IF(ISNUMBER(M195), (M195 - $B195) / $B195, "")</f>
        <v>-6.9767441860465115E-2</v>
      </c>
      <c r="O195" s="18">
        <f>IF(ISNUMBER(M195), $B199 * N195, "")</f>
        <v>-20930.232558139534</v>
      </c>
      <c r="Q195" s="275"/>
      <c r="R195" s="275"/>
      <c r="S195" s="275"/>
    </row>
    <row r="196" spans="1:19" ht="17.25" thickBot="1">
      <c r="A196" s="124" t="s">
        <v>208</v>
      </c>
      <c r="B196" s="125">
        <v>550</v>
      </c>
      <c r="C196" s="73">
        <v>-9.0090090000000001E-3</v>
      </c>
      <c r="D196" s="15">
        <v>525</v>
      </c>
      <c r="E196" s="32">
        <f t="shared" si="106"/>
        <v>-4.5454545454545456E-2</v>
      </c>
      <c r="F196" s="18">
        <f>IF(ISNUMBER(D196), $B199 * E196, "")</f>
        <v>-13636.363636363636</v>
      </c>
      <c r="G196" s="31">
        <v>530</v>
      </c>
      <c r="H196" s="32">
        <f t="shared" si="107"/>
        <v>-3.6363636363636362E-2</v>
      </c>
      <c r="I196" s="97">
        <f>IF(ISNUMBER(G196), $B199 * H196, "")</f>
        <v>-10909.090909090908</v>
      </c>
      <c r="J196" s="15">
        <v>527</v>
      </c>
      <c r="K196" s="32">
        <f t="shared" si="108"/>
        <v>-4.1818181818181817E-2</v>
      </c>
      <c r="L196" s="18">
        <f>IF(ISNUMBER(J196), $B199 * K196, "")</f>
        <v>-12545.454545454546</v>
      </c>
      <c r="M196" s="31">
        <v>511</v>
      </c>
      <c r="N196" s="32">
        <f t="shared" si="109"/>
        <v>-7.0909090909090908E-2</v>
      </c>
      <c r="O196" s="18">
        <f>IF(ISNUMBER(M196), $B199 * N196, "")</f>
        <v>-21272.727272727272</v>
      </c>
      <c r="Q196" s="275"/>
      <c r="R196" s="275"/>
      <c r="S196" s="275"/>
    </row>
    <row r="197" spans="1:19">
      <c r="A197" s="124" t="s">
        <v>170</v>
      </c>
      <c r="B197" s="125">
        <v>549</v>
      </c>
      <c r="C197" s="73">
        <v>-9.0252708000000004E-3</v>
      </c>
      <c r="D197" s="15">
        <v>530</v>
      </c>
      <c r="E197" s="32">
        <f t="shared" si="106"/>
        <v>-3.4608378870673952E-2</v>
      </c>
      <c r="F197" s="18">
        <f>IF(ISNUMBER(D197), $B199 * E197, "")</f>
        <v>-10382.513661202185</v>
      </c>
      <c r="G197" s="31">
        <v>539</v>
      </c>
      <c r="H197" s="32">
        <f t="shared" si="107"/>
        <v>-1.8214936247723135E-2</v>
      </c>
      <c r="I197" s="97">
        <f>IF(ISNUMBER(G197), $B199 * H197, "")</f>
        <v>-5464.4808743169406</v>
      </c>
      <c r="J197" s="15">
        <v>536</v>
      </c>
      <c r="K197" s="32">
        <f t="shared" si="108"/>
        <v>-2.3679417122040074E-2</v>
      </c>
      <c r="L197" s="18">
        <f>IF(ISNUMBER(J197), $B199 * K197, "")</f>
        <v>-7103.8251366120221</v>
      </c>
      <c r="M197" s="31">
        <v>519</v>
      </c>
      <c r="N197" s="32">
        <f t="shared" si="109"/>
        <v>-5.4644808743169397E-2</v>
      </c>
      <c r="O197" s="18">
        <f>IF(ISNUMBER(M197), $B199 * N197, "")</f>
        <v>-16393.442622950821</v>
      </c>
      <c r="Q197" s="297"/>
      <c r="R197" s="298"/>
      <c r="S197" s="299"/>
    </row>
    <row r="198" spans="1:19" ht="17.25" thickBot="1">
      <c r="A198" s="129" t="s">
        <v>204</v>
      </c>
      <c r="B198" s="130">
        <v>9915</v>
      </c>
      <c r="C198" s="75">
        <v>-9.4905094999999991E-3</v>
      </c>
      <c r="D198" s="24">
        <v>9705</v>
      </c>
      <c r="E198" s="25">
        <f t="shared" si="106"/>
        <v>-2.118003025718608E-2</v>
      </c>
      <c r="F198" s="100">
        <f>IF(ISNUMBER(D198), $B199 * E198, "")</f>
        <v>-6354.0090771558243</v>
      </c>
      <c r="G198" s="98">
        <v>9760</v>
      </c>
      <c r="H198" s="25">
        <f t="shared" si="107"/>
        <v>-1.5632879475542108E-2</v>
      </c>
      <c r="I198" s="99">
        <f>IF(ISNUMBER(G198), $B199 * H198, "")</f>
        <v>-4689.8638426626321</v>
      </c>
      <c r="J198" s="24">
        <v>9685</v>
      </c>
      <c r="K198" s="25">
        <f t="shared" si="108"/>
        <v>-2.319717599596571E-2</v>
      </c>
      <c r="L198" s="100">
        <f>IF(ISNUMBER(J198), $B199 * K198, "")</f>
        <v>-6959.1527987897125</v>
      </c>
      <c r="M198" s="98">
        <v>9385</v>
      </c>
      <c r="N198" s="25">
        <f t="shared" si="109"/>
        <v>-5.3454362077660113E-2</v>
      </c>
      <c r="O198" s="100">
        <f>IF(ISNUMBER(M198), $B199 * N198, "")</f>
        <v>-16036.308623298033</v>
      </c>
      <c r="Q198" s="300"/>
      <c r="R198" s="301"/>
      <c r="S198" s="302"/>
    </row>
    <row r="199" spans="1:19" ht="17.25" thickBot="1">
      <c r="A199" s="131" t="s">
        <v>301</v>
      </c>
      <c r="B199" s="308">
        <f>$B$37</f>
        <v>300000</v>
      </c>
      <c r="C199" s="309"/>
      <c r="D199" s="26" t="s">
        <v>302</v>
      </c>
      <c r="E199" s="27">
        <f>IF(COUNT(E179:E198), SUM(E179:E198) / COUNT(E179:E198), 0)</f>
        <v>-3.9643255745311128E-2</v>
      </c>
      <c r="F199" s="28">
        <f>SUM(F179:F198)</f>
        <v>-237859.53447186679</v>
      </c>
      <c r="G199" s="26" t="s">
        <v>302</v>
      </c>
      <c r="H199" s="27">
        <f>IF(COUNT(H179:H198), SUM(H179:H198) / COUNT(H179:H198), 0)</f>
        <v>-2.9206159928172278E-2</v>
      </c>
      <c r="I199" s="28">
        <f>SUM(I179:I198)</f>
        <v>-175236.95956903361</v>
      </c>
      <c r="J199" s="26" t="s">
        <v>302</v>
      </c>
      <c r="K199" s="27">
        <f>IF(COUNT(K179:K198), SUM(K179:K198) / COUNT(K179:K198), 0)</f>
        <v>-3.5294079485975779E-2</v>
      </c>
      <c r="L199" s="28">
        <f>SUM(L179:L198)</f>
        <v>-211764.47691585461</v>
      </c>
      <c r="M199" s="26" t="s">
        <v>302</v>
      </c>
      <c r="N199" s="27">
        <f>IF(COUNT(N179:N198), SUM(N179:N198) / COUNT(N179:N198), 0)</f>
        <v>-6.7265008835448475E-2</v>
      </c>
      <c r="O199" s="28">
        <f>SUM(O179:O198)</f>
        <v>-403590.05301269086</v>
      </c>
      <c r="Q199" s="303"/>
      <c r="R199" s="304"/>
      <c r="S199" s="30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15" priority="157">
      <formula>AND($N17 &gt; 0, ISNUMBER($N17))</formula>
    </cfRule>
    <cfRule type="expression" dxfId="2314" priority="158">
      <formula>AND($N17 = 0 * ISNUMBER($N17))</formula>
    </cfRule>
    <cfRule type="expression" dxfId="2313" priority="159">
      <formula>AND($N17 &lt; 0, ISNUMBER($N17))</formula>
    </cfRule>
  </conditionalFormatting>
  <conditionalFormatting sqref="A17:F36">
    <cfRule type="expression" dxfId="2312" priority="166">
      <formula>AND($E17 &gt; 0, ISNUMBER($E17))</formula>
    </cfRule>
    <cfRule type="expression" dxfId="2311" priority="167">
      <formula>AND($E17 = 0 * ISNUMBER($E17))</formula>
    </cfRule>
    <cfRule type="expression" dxfId="2310" priority="168">
      <formula>AND($E17 &lt; 0, ISNUMBER($E17))</formula>
    </cfRule>
  </conditionalFormatting>
  <conditionalFormatting sqref="A17:C36 G17:I36">
    <cfRule type="expression" dxfId="2309" priority="163">
      <formula>AND($H17 &gt; 0, ISNUMBER($H17))</formula>
    </cfRule>
    <cfRule type="expression" dxfId="2308" priority="164">
      <formula>AND($H17 = 0 * ISNUMBER($H17))</formula>
    </cfRule>
    <cfRule type="expression" dxfId="2307" priority="165">
      <formula>AND($H17 &lt; 0, ISNUMBER($H17))</formula>
    </cfRule>
  </conditionalFormatting>
  <conditionalFormatting sqref="A17:C36 J17:L36">
    <cfRule type="expression" dxfId="2306" priority="160">
      <formula>AND($K17 &gt; 0, ISNUMBER($K17))</formula>
    </cfRule>
    <cfRule type="expression" dxfId="2305" priority="161">
      <formula>AND($K17 = 0 * ISNUMBER($K17))</formula>
    </cfRule>
    <cfRule type="expression" dxfId="2304" priority="162">
      <formula>AND($K17 &lt; 0, ISNUMBER($K17))</formula>
    </cfRule>
  </conditionalFormatting>
  <conditionalFormatting sqref="D15:F16 E37:F37">
    <cfRule type="expression" dxfId="2303" priority="154">
      <formula>$E$37 &gt; 0</formula>
    </cfRule>
    <cfRule type="expression" dxfId="2302" priority="155">
      <formula>$E$37 = 0</formula>
    </cfRule>
    <cfRule type="expression" dxfId="2301" priority="156">
      <formula>$E$37 &lt; 0</formula>
    </cfRule>
  </conditionalFormatting>
  <conditionalFormatting sqref="G15:I16 H37:I37">
    <cfRule type="expression" dxfId="2300" priority="151">
      <formula>$H$37 &gt; 0</formula>
    </cfRule>
    <cfRule type="expression" dxfId="2299" priority="152">
      <formula>$H$37 = 0</formula>
    </cfRule>
    <cfRule type="expression" dxfId="2298" priority="153">
      <formula>$H$37 &lt; 0</formula>
    </cfRule>
  </conditionalFormatting>
  <conditionalFormatting sqref="J15:L16 K37:L37">
    <cfRule type="expression" dxfId="2297" priority="148">
      <formula>$K$37 &gt; 0</formula>
    </cfRule>
    <cfRule type="expression" dxfId="2296" priority="149">
      <formula>$K$37 = 0</formula>
    </cfRule>
    <cfRule type="expression" dxfId="2295" priority="150">
      <formula>$K$37 &lt; 0</formula>
    </cfRule>
  </conditionalFormatting>
  <conditionalFormatting sqref="M15:O16 N37:O37">
    <cfRule type="expression" dxfId="2294" priority="145">
      <formula>$N$37 &gt; 0</formula>
    </cfRule>
    <cfRule type="expression" dxfId="2293" priority="146">
      <formula>$N$37 = 0</formula>
    </cfRule>
    <cfRule type="expression" dxfId="2292" priority="147">
      <formula>$N$37 &lt; 0</formula>
    </cfRule>
  </conditionalFormatting>
  <conditionalFormatting sqref="A44:C63 M44:O63">
    <cfRule type="expression" dxfId="2291" priority="133">
      <formula>AND($N44 &gt; 0, ISNUMBER($N44))</formula>
    </cfRule>
    <cfRule type="expression" dxfId="2290" priority="134">
      <formula>AND($N44 = 0 * ISNUMBER($N44))</formula>
    </cfRule>
    <cfRule type="expression" dxfId="2289" priority="135">
      <formula>AND($N44 &lt; 0, ISNUMBER($N44))</formula>
    </cfRule>
  </conditionalFormatting>
  <conditionalFormatting sqref="A44:F63">
    <cfRule type="expression" dxfId="2288" priority="142">
      <formula>AND($E44 &gt; 0, ISNUMBER($E44))</formula>
    </cfRule>
    <cfRule type="expression" dxfId="2287" priority="143">
      <formula>AND($E44 = 0 * ISNUMBER($E44))</formula>
    </cfRule>
    <cfRule type="expression" dxfId="2286" priority="144">
      <formula>AND($E44 &lt; 0, ISNUMBER($E44))</formula>
    </cfRule>
  </conditionalFormatting>
  <conditionalFormatting sqref="A44:C63 G44:I63">
    <cfRule type="expression" dxfId="2285" priority="139">
      <formula>AND($H44 &gt; 0, ISNUMBER($H44))</formula>
    </cfRule>
    <cfRule type="expression" dxfId="2284" priority="140">
      <formula>AND($H44 = 0 * ISNUMBER($H44))</formula>
    </cfRule>
    <cfRule type="expression" dxfId="2283" priority="141">
      <formula>AND($H44 &lt; 0, ISNUMBER($H44))</formula>
    </cfRule>
  </conditionalFormatting>
  <conditionalFormatting sqref="A44:C63 J44:L63">
    <cfRule type="expression" dxfId="2282" priority="136">
      <formula>AND($K44 &gt; 0, ISNUMBER($K44))</formula>
    </cfRule>
    <cfRule type="expression" dxfId="2281" priority="137">
      <formula>AND($K44 = 0 * ISNUMBER($K44))</formula>
    </cfRule>
    <cfRule type="expression" dxfId="2280" priority="138">
      <formula>AND($K44 &lt; 0, ISNUMBER($K44))</formula>
    </cfRule>
  </conditionalFormatting>
  <conditionalFormatting sqref="D42:F43 E64:F64">
    <cfRule type="expression" dxfId="2279" priority="130">
      <formula>$E$64 &gt; 0</formula>
    </cfRule>
    <cfRule type="expression" dxfId="2278" priority="131">
      <formula>$E$64 = 0</formula>
    </cfRule>
    <cfRule type="expression" dxfId="2277" priority="132">
      <formula>$E$64 &lt; 0</formula>
    </cfRule>
  </conditionalFormatting>
  <conditionalFormatting sqref="G42:I43 H64:I64">
    <cfRule type="expression" dxfId="2276" priority="127">
      <formula>$H$64 &gt; 0</formula>
    </cfRule>
    <cfRule type="expression" dxfId="2275" priority="128">
      <formula>$H$64 = 0</formula>
    </cfRule>
    <cfRule type="expression" dxfId="2274" priority="129">
      <formula>$H$64 &lt; 0</formula>
    </cfRule>
  </conditionalFormatting>
  <conditionalFormatting sqref="J42:L43 K64:L64">
    <cfRule type="expression" dxfId="2273" priority="124">
      <formula>$K$64 &gt; 0</formula>
    </cfRule>
    <cfRule type="expression" dxfId="2272" priority="125">
      <formula>$K$64 = 0</formula>
    </cfRule>
    <cfRule type="expression" dxfId="2271" priority="126">
      <formula>$K$64 &lt; 0</formula>
    </cfRule>
  </conditionalFormatting>
  <conditionalFormatting sqref="M42:O43 N64:O64">
    <cfRule type="expression" dxfId="2270" priority="121">
      <formula>$N$64 &gt; 0</formula>
    </cfRule>
    <cfRule type="expression" dxfId="2269" priority="122">
      <formula>$N$64 = 0</formula>
    </cfRule>
    <cfRule type="expression" dxfId="2268" priority="123">
      <formula>$N$64 &lt; 0</formula>
    </cfRule>
  </conditionalFormatting>
  <conditionalFormatting sqref="A71:C90 M71:O90">
    <cfRule type="expression" dxfId="2267" priority="109">
      <formula>AND($N71 &gt; 0, ISNUMBER($N71))</formula>
    </cfRule>
    <cfRule type="expression" dxfId="2266" priority="110">
      <formula>AND($N71 = 0 * ISNUMBER($N71))</formula>
    </cfRule>
    <cfRule type="expression" dxfId="2265" priority="111">
      <formula>AND($N71 &lt; 0, ISNUMBER($N71))</formula>
    </cfRule>
  </conditionalFormatting>
  <conditionalFormatting sqref="A71:F90">
    <cfRule type="expression" dxfId="2264" priority="118">
      <formula>AND($E71 &gt; 0, ISNUMBER($E71))</formula>
    </cfRule>
    <cfRule type="expression" dxfId="2263" priority="119">
      <formula>AND($E71 = 0 * ISNUMBER($E71))</formula>
    </cfRule>
    <cfRule type="expression" dxfId="2262" priority="120">
      <formula>AND($E71 &lt; 0, ISNUMBER($E71))</formula>
    </cfRule>
  </conditionalFormatting>
  <conditionalFormatting sqref="A71:C90 G71:I90">
    <cfRule type="expression" dxfId="2261" priority="115">
      <formula>AND($H71 &gt; 0, ISNUMBER($H71))</formula>
    </cfRule>
    <cfRule type="expression" dxfId="2260" priority="116">
      <formula>AND($H71 = 0 * ISNUMBER($H71))</formula>
    </cfRule>
    <cfRule type="expression" dxfId="2259" priority="117">
      <formula>AND($H71 &lt; 0, ISNUMBER($H71))</formula>
    </cfRule>
  </conditionalFormatting>
  <conditionalFormatting sqref="A71:C90 J71:L90">
    <cfRule type="expression" dxfId="2258" priority="112">
      <formula>AND($K71 &gt; 0, ISNUMBER($K71))</formula>
    </cfRule>
    <cfRule type="expression" dxfId="2257" priority="113">
      <formula>AND($K71 = 0 * ISNUMBER($K71))</formula>
    </cfRule>
    <cfRule type="expression" dxfId="2256" priority="114">
      <formula>AND($K71 &lt; 0, ISNUMBER($K71))</formula>
    </cfRule>
  </conditionalFormatting>
  <conditionalFormatting sqref="D69:F70 E91:F91">
    <cfRule type="expression" dxfId="2255" priority="106">
      <formula>$E$91 &gt; 0</formula>
    </cfRule>
    <cfRule type="expression" dxfId="2254" priority="107">
      <formula>$E$91 = 0</formula>
    </cfRule>
    <cfRule type="expression" dxfId="2253" priority="108">
      <formula>$E$91 &lt; 0</formula>
    </cfRule>
  </conditionalFormatting>
  <conditionalFormatting sqref="G69:I70 H91:I91">
    <cfRule type="expression" dxfId="2252" priority="103">
      <formula>$H$91 &gt; 0</formula>
    </cfRule>
    <cfRule type="expression" dxfId="2251" priority="104">
      <formula>$H$91 = 0</formula>
    </cfRule>
    <cfRule type="expression" dxfId="2250" priority="105">
      <formula>$H$91 &lt; 0</formula>
    </cfRule>
  </conditionalFormatting>
  <conditionalFormatting sqref="J69:L70 K91:L91">
    <cfRule type="expression" dxfId="2249" priority="100">
      <formula>$K$91 &gt; 0</formula>
    </cfRule>
    <cfRule type="expression" dxfId="2248" priority="101">
      <formula>$K$91 = 0</formula>
    </cfRule>
    <cfRule type="expression" dxfId="2247" priority="102">
      <formula>$K$91 &lt; 0</formula>
    </cfRule>
  </conditionalFormatting>
  <conditionalFormatting sqref="M69:O70 N91:O91">
    <cfRule type="expression" dxfId="2246" priority="97">
      <formula>$N$91 &gt; 0</formula>
    </cfRule>
    <cfRule type="expression" dxfId="2245" priority="98">
      <formula>$N$91 = 0</formula>
    </cfRule>
    <cfRule type="expression" dxfId="2244" priority="99">
      <formula>$N$91 &lt; 0</formula>
    </cfRule>
  </conditionalFormatting>
  <conditionalFormatting sqref="A98:C117 M98:O117">
    <cfRule type="expression" dxfId="2243" priority="85">
      <formula>AND($N98 &gt; 0, ISNUMBER($N98))</formula>
    </cfRule>
    <cfRule type="expression" dxfId="2242" priority="86">
      <formula>AND($N98 = 0 * ISNUMBER($N98))</formula>
    </cfRule>
    <cfRule type="expression" dxfId="2241" priority="87">
      <formula>AND($N98 &lt; 0, ISNUMBER($N98))</formula>
    </cfRule>
  </conditionalFormatting>
  <conditionalFormatting sqref="A98:F117">
    <cfRule type="expression" dxfId="2240" priority="94">
      <formula>AND($E98 &gt; 0, ISNUMBER($E98))</formula>
    </cfRule>
    <cfRule type="expression" dxfId="2239" priority="95">
      <formula>AND($E98 = 0 * ISNUMBER($E98))</formula>
    </cfRule>
    <cfRule type="expression" dxfId="2238" priority="96">
      <formula>AND($E98 &lt; 0, ISNUMBER($E98))</formula>
    </cfRule>
  </conditionalFormatting>
  <conditionalFormatting sqref="A98:C117 G98:I117">
    <cfRule type="expression" dxfId="2237" priority="91">
      <formula>AND($H98 &gt; 0, ISNUMBER($H98))</formula>
    </cfRule>
    <cfRule type="expression" dxfId="2236" priority="92">
      <formula>AND($H98 = 0 * ISNUMBER($H98))</formula>
    </cfRule>
    <cfRule type="expression" dxfId="2235" priority="93">
      <formula>AND($H98 &lt; 0, ISNUMBER($H98))</formula>
    </cfRule>
  </conditionalFormatting>
  <conditionalFormatting sqref="A98:C117 J98:L117">
    <cfRule type="expression" dxfId="2234" priority="88">
      <formula>AND($K98 &gt; 0, ISNUMBER($K98))</formula>
    </cfRule>
    <cfRule type="expression" dxfId="2233" priority="89">
      <formula>AND($K98 = 0 * ISNUMBER($K98))</formula>
    </cfRule>
    <cfRule type="expression" dxfId="2232" priority="90">
      <formula>AND($K98 &lt; 0, ISNUMBER($K98))</formula>
    </cfRule>
  </conditionalFormatting>
  <conditionalFormatting sqref="D96:F97 E118:F118">
    <cfRule type="expression" dxfId="2231" priority="82">
      <formula>$E$118 &gt; 0</formula>
    </cfRule>
    <cfRule type="expression" dxfId="2230" priority="83">
      <formula>$E$118 = 0</formula>
    </cfRule>
    <cfRule type="expression" dxfId="2229" priority="84">
      <formula>$E$118 &lt; 0</formula>
    </cfRule>
  </conditionalFormatting>
  <conditionalFormatting sqref="G96:I97 H118:I118">
    <cfRule type="expression" dxfId="2228" priority="79">
      <formula>$H$118 &gt; 0</formula>
    </cfRule>
    <cfRule type="expression" dxfId="2227" priority="80">
      <formula>$H$118 = 0</formula>
    </cfRule>
    <cfRule type="expression" dxfId="2226" priority="81">
      <formula>$H$118 &lt; 0</formula>
    </cfRule>
  </conditionalFormatting>
  <conditionalFormatting sqref="J96:L97 K118:L118">
    <cfRule type="expression" dxfId="2225" priority="76">
      <formula>$K$118 &gt; 0</formula>
    </cfRule>
    <cfRule type="expression" dxfId="2224" priority="77">
      <formula>$K$118 = 0</formula>
    </cfRule>
    <cfRule type="expression" dxfId="2223" priority="78">
      <formula>$K$118 &lt; 0</formula>
    </cfRule>
  </conditionalFormatting>
  <conditionalFormatting sqref="M96:O97 N118:O118">
    <cfRule type="expression" dxfId="2222" priority="73">
      <formula>$N$118 &gt; 0</formula>
    </cfRule>
    <cfRule type="expression" dxfId="2221" priority="74">
      <formula>$N$118 = 0</formula>
    </cfRule>
    <cfRule type="expression" dxfId="2220" priority="75">
      <formula>$N$118 &lt; 0</formula>
    </cfRule>
  </conditionalFormatting>
  <conditionalFormatting sqref="A125:C144 M125:O144">
    <cfRule type="expression" dxfId="2219" priority="61">
      <formula>AND($N125 &gt; 0, ISNUMBER($N125))</formula>
    </cfRule>
    <cfRule type="expression" dxfId="2218" priority="62">
      <formula>AND($N125 = 0 * ISNUMBER($N125))</formula>
    </cfRule>
    <cfRule type="expression" dxfId="2217" priority="63">
      <formula>AND($N125 &lt; 0, ISNUMBER($N125))</formula>
    </cfRule>
  </conditionalFormatting>
  <conditionalFormatting sqref="A125:F144">
    <cfRule type="expression" dxfId="2216" priority="70">
      <formula>AND($E125 &gt; 0, ISNUMBER($E125))</formula>
    </cfRule>
    <cfRule type="expression" dxfId="2215" priority="71">
      <formula>AND($E125 = 0 * ISNUMBER($E125))</formula>
    </cfRule>
    <cfRule type="expression" dxfId="2214" priority="72">
      <formula>AND($E125 &lt; 0, ISNUMBER($E125))</formula>
    </cfRule>
  </conditionalFormatting>
  <conditionalFormatting sqref="A125:C144 G125:I144">
    <cfRule type="expression" dxfId="2213" priority="67">
      <formula>AND($H125 &gt; 0, ISNUMBER($H125))</formula>
    </cfRule>
    <cfRule type="expression" dxfId="2212" priority="68">
      <formula>AND($H125 = 0 * ISNUMBER($H125))</formula>
    </cfRule>
    <cfRule type="expression" dxfId="2211" priority="69">
      <formula>AND($H125 &lt; 0, ISNUMBER($H125))</formula>
    </cfRule>
  </conditionalFormatting>
  <conditionalFormatting sqref="A125:C144 J125:L144">
    <cfRule type="expression" dxfId="2210" priority="64">
      <formula>AND($K125 &gt; 0, ISNUMBER($K125))</formula>
    </cfRule>
    <cfRule type="expression" dxfId="2209" priority="65">
      <formula>AND($K125 = 0 * ISNUMBER($K125))</formula>
    </cfRule>
    <cfRule type="expression" dxfId="2208" priority="66">
      <formula>AND($K125 &lt; 0, ISNUMBER($K125))</formula>
    </cfRule>
  </conditionalFormatting>
  <conditionalFormatting sqref="D123:F124 E145:F145">
    <cfRule type="expression" dxfId="2207" priority="58">
      <formula>$E$145 &gt; 0</formula>
    </cfRule>
    <cfRule type="expression" dxfId="2206" priority="59">
      <formula>$E$145 = 0</formula>
    </cfRule>
    <cfRule type="expression" dxfId="2205" priority="60">
      <formula>$E$145 &lt; 0</formula>
    </cfRule>
  </conditionalFormatting>
  <conditionalFormatting sqref="G123:I124 H145:I145">
    <cfRule type="expression" dxfId="2204" priority="55">
      <formula>$H$145 &gt; 0</formula>
    </cfRule>
    <cfRule type="expression" dxfId="2203" priority="56">
      <formula>$H$145 = 0</formula>
    </cfRule>
    <cfRule type="expression" dxfId="2202" priority="57">
      <formula>$H$145 &lt; 0</formula>
    </cfRule>
  </conditionalFormatting>
  <conditionalFormatting sqref="J123:L124 K145:L145">
    <cfRule type="expression" dxfId="2201" priority="52">
      <formula>$K$145 &gt; 0</formula>
    </cfRule>
    <cfRule type="expression" dxfId="2200" priority="53">
      <formula>$K$145 = 0</formula>
    </cfRule>
    <cfRule type="expression" dxfId="2199" priority="54">
      <formula>$K$145 &lt; 0</formula>
    </cfRule>
  </conditionalFormatting>
  <conditionalFormatting sqref="M123:O124 N145:O145">
    <cfRule type="expression" dxfId="2198" priority="49">
      <formula>$N$145 &gt; 0</formula>
    </cfRule>
    <cfRule type="expression" dxfId="2197" priority="50">
      <formula>$N$145 = 0</formula>
    </cfRule>
    <cfRule type="expression" dxfId="2196" priority="51">
      <formula>$N$145 &lt; 0</formula>
    </cfRule>
  </conditionalFormatting>
  <conditionalFormatting sqref="A152:C171 M152:O171">
    <cfRule type="expression" dxfId="2195" priority="37">
      <formula>AND($N152 &gt; 0, ISNUMBER($N152))</formula>
    </cfRule>
    <cfRule type="expression" dxfId="2194" priority="38">
      <formula>AND($N152 = 0 * ISNUMBER($N152))</formula>
    </cfRule>
    <cfRule type="expression" dxfId="2193" priority="39">
      <formula>AND($N152 &lt; 0, ISNUMBER($N152))</formula>
    </cfRule>
  </conditionalFormatting>
  <conditionalFormatting sqref="A152:F171">
    <cfRule type="expression" dxfId="2192" priority="46">
      <formula>AND($E152 &gt; 0, ISNUMBER($E152))</formula>
    </cfRule>
    <cfRule type="expression" dxfId="2191" priority="47">
      <formula>AND($E152 = 0 * ISNUMBER($E152))</formula>
    </cfRule>
    <cfRule type="expression" dxfId="2190" priority="48">
      <formula>AND($E152 &lt; 0, ISNUMBER($E152))</formula>
    </cfRule>
  </conditionalFormatting>
  <conditionalFormatting sqref="A152:C171 G152:I171">
    <cfRule type="expression" dxfId="2189" priority="43">
      <formula>AND($H152 &gt; 0, ISNUMBER($H152))</formula>
    </cfRule>
    <cfRule type="expression" dxfId="2188" priority="44">
      <formula>AND($H152 = 0 * ISNUMBER($H152))</formula>
    </cfRule>
    <cfRule type="expression" dxfId="2187" priority="45">
      <formula>AND($H152 &lt; 0, ISNUMBER($H152))</formula>
    </cfRule>
  </conditionalFormatting>
  <conditionalFormatting sqref="A152:C171 J152:L171">
    <cfRule type="expression" dxfId="2186" priority="40">
      <formula>AND($K152 &gt; 0, ISNUMBER($K152))</formula>
    </cfRule>
    <cfRule type="expression" dxfId="2185" priority="41">
      <formula>AND($K152 = 0 * ISNUMBER($K152))</formula>
    </cfRule>
    <cfRule type="expression" dxfId="2184" priority="42">
      <formula>AND($K152 &lt; 0, ISNUMBER($K152))</formula>
    </cfRule>
  </conditionalFormatting>
  <conditionalFormatting sqref="D150:F151 E172:F172">
    <cfRule type="expression" dxfId="2183" priority="34">
      <formula>$E$172 &gt; 0</formula>
    </cfRule>
    <cfRule type="expression" dxfId="2182" priority="35">
      <formula>$E$172 = 0</formula>
    </cfRule>
    <cfRule type="expression" dxfId="2181" priority="36">
      <formula>$E$172 &lt; 0</formula>
    </cfRule>
  </conditionalFormatting>
  <conditionalFormatting sqref="G150:I151 H172:I172">
    <cfRule type="expression" dxfId="2180" priority="31">
      <formula>$H$172 &gt; 0</formula>
    </cfRule>
    <cfRule type="expression" dxfId="2179" priority="32">
      <formula>$H$172 = 0</formula>
    </cfRule>
    <cfRule type="expression" dxfId="2178" priority="33">
      <formula>$H$172 &lt; 0</formula>
    </cfRule>
  </conditionalFormatting>
  <conditionalFormatting sqref="J150:L151 K172:L172">
    <cfRule type="expression" dxfId="2177" priority="28">
      <formula>$K$172 &gt; 0</formula>
    </cfRule>
    <cfRule type="expression" dxfId="2176" priority="29">
      <formula>$K$172 = 0</formula>
    </cfRule>
    <cfRule type="expression" dxfId="2175" priority="30">
      <formula>$K$172 &lt; 0</formula>
    </cfRule>
  </conditionalFormatting>
  <conditionalFormatting sqref="M150:O151 N172:O172">
    <cfRule type="expression" dxfId="2174" priority="25">
      <formula>$N$172 &gt; 0</formula>
    </cfRule>
    <cfRule type="expression" dxfId="2173" priority="26">
      <formula>$N$172 = 0</formula>
    </cfRule>
    <cfRule type="expression" dxfId="2172" priority="27">
      <formula>$N$172 &lt; 0</formula>
    </cfRule>
  </conditionalFormatting>
  <conditionalFormatting sqref="A179:C198 M179:O198">
    <cfRule type="expression" dxfId="2171" priority="13">
      <formula>AND($N179 &gt; 0, ISNUMBER($N179))</formula>
    </cfRule>
    <cfRule type="expression" dxfId="2170" priority="14">
      <formula>AND($N179 = 0 * ISNUMBER($N179))</formula>
    </cfRule>
    <cfRule type="expression" dxfId="2169" priority="15">
      <formula>AND($N179 &lt; 0, ISNUMBER($N179))</formula>
    </cfRule>
  </conditionalFormatting>
  <conditionalFormatting sqref="A179:F198">
    <cfRule type="expression" dxfId="2168" priority="22">
      <formula>AND($E179 &gt; 0, ISNUMBER($E179))</formula>
    </cfRule>
    <cfRule type="expression" dxfId="2167" priority="23">
      <formula>AND($E179 = 0 * ISNUMBER($E179))</formula>
    </cfRule>
    <cfRule type="expression" dxfId="2166" priority="24">
      <formula>AND($E179 &lt; 0, ISNUMBER($E179))</formula>
    </cfRule>
  </conditionalFormatting>
  <conditionalFormatting sqref="A179:C198 G179:I198">
    <cfRule type="expression" dxfId="2165" priority="19">
      <formula>AND($H179 &gt; 0, ISNUMBER($H179))</formula>
    </cfRule>
    <cfRule type="expression" dxfId="2164" priority="20">
      <formula>AND($H179 = 0 * ISNUMBER($H179))</formula>
    </cfRule>
    <cfRule type="expression" dxfId="2163" priority="21">
      <formula>AND($H179 &lt; 0, ISNUMBER($H179))</formula>
    </cfRule>
  </conditionalFormatting>
  <conditionalFormatting sqref="A179:C198 J179:L198">
    <cfRule type="expression" dxfId="2162" priority="16">
      <formula>AND($K179 &gt; 0, ISNUMBER($K179))</formula>
    </cfRule>
    <cfRule type="expression" dxfId="2161" priority="17">
      <formula>AND($K179 = 0 * ISNUMBER($K179))</formula>
    </cfRule>
    <cfRule type="expression" dxfId="2160" priority="18">
      <formula>AND($K179 &lt; 0, ISNUMBER($K179))</formula>
    </cfRule>
  </conditionalFormatting>
  <conditionalFormatting sqref="D177:F178 E199:F199">
    <cfRule type="expression" dxfId="2159" priority="10">
      <formula>$E$199 &gt; 0</formula>
    </cfRule>
    <cfRule type="expression" dxfId="2158" priority="11">
      <formula>$E$199 = 0</formula>
    </cfRule>
    <cfRule type="expression" dxfId="2157" priority="12">
      <formula>$E$199 &lt; 0</formula>
    </cfRule>
  </conditionalFormatting>
  <conditionalFormatting sqref="G177:I178 H199:I199">
    <cfRule type="expression" dxfId="2156" priority="7">
      <formula>$H$199 &gt; 0</formula>
    </cfRule>
    <cfRule type="expression" dxfId="2155" priority="8">
      <formula>$H$199 = 0</formula>
    </cfRule>
    <cfRule type="expression" dxfId="2154" priority="9">
      <formula>$H$199 &lt; 0</formula>
    </cfRule>
  </conditionalFormatting>
  <conditionalFormatting sqref="J177:L178 K199:L199">
    <cfRule type="expression" dxfId="2153" priority="4">
      <formula>$K$199 &gt; 0</formula>
    </cfRule>
    <cfRule type="expression" dxfId="2152" priority="5">
      <formula>$K$199 = 0</formula>
    </cfRule>
    <cfRule type="expression" dxfId="2151" priority="6">
      <formula>$K$199 &lt; 0</formula>
    </cfRule>
  </conditionalFormatting>
  <conditionalFormatting sqref="M177:O178 N199:O199">
    <cfRule type="expression" dxfId="2150" priority="1">
      <formula>$N$199 &gt; 0</formula>
    </cfRule>
    <cfRule type="expression" dxfId="2149" priority="2">
      <formula>$N$199 = 0</formula>
    </cfRule>
    <cfRule type="expression" dxfId="21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47C4D-9FC5-4EC0-B2AE-32DC32C46BD5}">
  <sheetPr codeName="Sheet11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9" t="s">
        <v>0</v>
      </c>
      <c r="B1" s="250"/>
      <c r="C1" s="250"/>
      <c r="D1" s="250"/>
      <c r="E1" s="250"/>
      <c r="F1" s="251"/>
      <c r="G1" s="252">
        <v>44321</v>
      </c>
      <c r="H1" s="253"/>
      <c r="I1" s="254"/>
      <c r="J1" s="249" t="s">
        <v>1</v>
      </c>
      <c r="K1" s="250"/>
      <c r="L1" s="250"/>
      <c r="M1" s="250"/>
      <c r="N1" s="250"/>
      <c r="O1" s="251"/>
      <c r="Q1" s="249" t="s">
        <v>2</v>
      </c>
      <c r="R1" s="251"/>
    </row>
    <row r="2" spans="1:19" ht="17.25" customHeight="1">
      <c r="A2" s="116" t="s">
        <v>3</v>
      </c>
      <c r="B2" s="255" t="s">
        <v>4</v>
      </c>
      <c r="C2" s="256"/>
      <c r="D2" s="256"/>
      <c r="E2" s="256"/>
      <c r="F2" s="257"/>
      <c r="G2" s="258" t="s">
        <v>46</v>
      </c>
      <c r="H2" s="259"/>
      <c r="I2" s="260"/>
      <c r="J2" s="1" t="s">
        <v>3</v>
      </c>
      <c r="K2" s="255" t="s">
        <v>5</v>
      </c>
      <c r="L2" s="256"/>
      <c r="M2" s="256"/>
      <c r="N2" s="256"/>
      <c r="O2" s="257"/>
      <c r="Q2" s="2" t="s">
        <v>6</v>
      </c>
      <c r="R2" s="3">
        <v>0.375</v>
      </c>
    </row>
    <row r="3" spans="1:19" ht="17.25" customHeight="1" thickBot="1">
      <c r="A3" s="117" t="s">
        <v>7</v>
      </c>
      <c r="B3" s="261" t="s">
        <v>8</v>
      </c>
      <c r="C3" s="262"/>
      <c r="D3" s="262"/>
      <c r="E3" s="262"/>
      <c r="F3" s="263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155,511 KRW (5.18%)</v>
      </c>
      <c r="H3" s="265"/>
      <c r="I3" s="266"/>
      <c r="J3" s="4" t="s">
        <v>7</v>
      </c>
      <c r="K3" s="261" t="s">
        <v>9</v>
      </c>
      <c r="L3" s="262"/>
      <c r="M3" s="262"/>
      <c r="N3" s="262"/>
      <c r="O3" s="263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61" t="s">
        <v>12</v>
      </c>
      <c r="C4" s="262"/>
      <c r="D4" s="262"/>
      <c r="E4" s="262"/>
      <c r="F4" s="263"/>
      <c r="G4" s="258" t="s">
        <v>44</v>
      </c>
      <c r="H4" s="259"/>
      <c r="I4" s="260"/>
      <c r="J4" s="4" t="s">
        <v>11</v>
      </c>
      <c r="K4" s="261" t="s">
        <v>13</v>
      </c>
      <c r="L4" s="262"/>
      <c r="M4" s="262"/>
      <c r="N4" s="262"/>
      <c r="O4" s="263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61" t="s">
        <v>16</v>
      </c>
      <c r="C5" s="262"/>
      <c r="D5" s="262"/>
      <c r="E5" s="262"/>
      <c r="F5" s="263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-27,833 KRW (-1.09%)</v>
      </c>
      <c r="H5" s="265"/>
      <c r="I5" s="266"/>
      <c r="J5" s="4" t="s">
        <v>15</v>
      </c>
      <c r="K5" s="261" t="s">
        <v>17</v>
      </c>
      <c r="L5" s="262"/>
      <c r="M5" s="262"/>
      <c r="N5" s="262"/>
      <c r="O5" s="263"/>
    </row>
    <row r="6" spans="1:19">
      <c r="A6" s="117" t="s">
        <v>18</v>
      </c>
      <c r="B6" s="261" t="s">
        <v>19</v>
      </c>
      <c r="C6" s="262"/>
      <c r="D6" s="262"/>
      <c r="E6" s="262"/>
      <c r="F6" s="263"/>
      <c r="G6" s="258" t="s">
        <v>45</v>
      </c>
      <c r="H6" s="259"/>
      <c r="I6" s="260"/>
      <c r="J6" s="4" t="s">
        <v>18</v>
      </c>
      <c r="K6" s="261" t="s">
        <v>20</v>
      </c>
      <c r="L6" s="262"/>
      <c r="M6" s="262"/>
      <c r="N6" s="262"/>
      <c r="O6" s="263"/>
    </row>
    <row r="7" spans="1:19" ht="17.25" thickBot="1">
      <c r="A7" s="117" t="s">
        <v>21</v>
      </c>
      <c r="B7" s="261" t="s">
        <v>22</v>
      </c>
      <c r="C7" s="262"/>
      <c r="D7" s="262"/>
      <c r="E7" s="262"/>
      <c r="F7" s="263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-3,183 KRW (-0.11%)</v>
      </c>
      <c r="H7" s="265"/>
      <c r="I7" s="266"/>
      <c r="J7" s="4" t="s">
        <v>21</v>
      </c>
      <c r="K7" s="261" t="s">
        <v>23</v>
      </c>
      <c r="L7" s="262"/>
      <c r="M7" s="262"/>
      <c r="N7" s="262"/>
      <c r="O7" s="263"/>
    </row>
    <row r="8" spans="1:19" ht="17.25" thickBot="1">
      <c r="A8" s="117" t="s">
        <v>24</v>
      </c>
      <c r="B8" s="261" t="s">
        <v>25</v>
      </c>
      <c r="C8" s="262"/>
      <c r="D8" s="262"/>
      <c r="E8" s="262"/>
      <c r="F8" s="263"/>
      <c r="G8" s="258" t="s">
        <v>285</v>
      </c>
      <c r="H8" s="259"/>
      <c r="I8" s="260"/>
      <c r="J8" s="4" t="s">
        <v>24</v>
      </c>
      <c r="K8" s="261" t="s">
        <v>26</v>
      </c>
      <c r="L8" s="262"/>
      <c r="M8" s="262"/>
      <c r="N8" s="262"/>
      <c r="O8" s="263"/>
      <c r="Q8" s="249" t="s">
        <v>27</v>
      </c>
      <c r="R8" s="251"/>
    </row>
    <row r="9" spans="1:19" ht="17.25" thickBot="1">
      <c r="A9" s="117" t="s">
        <v>28</v>
      </c>
      <c r="B9" s="261"/>
      <c r="C9" s="262"/>
      <c r="D9" s="262"/>
      <c r="E9" s="262"/>
      <c r="F9" s="263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-50,870 KRW (-1.70%)</v>
      </c>
      <c r="H9" s="265"/>
      <c r="I9" s="266"/>
      <c r="J9" s="4" t="s">
        <v>28</v>
      </c>
      <c r="K9" s="261" t="s">
        <v>293</v>
      </c>
      <c r="L9" s="262"/>
      <c r="M9" s="262"/>
      <c r="N9" s="262"/>
      <c r="O9" s="263"/>
      <c r="Q9" s="2" t="s">
        <v>29</v>
      </c>
      <c r="R9" s="6">
        <v>10</v>
      </c>
    </row>
    <row r="10" spans="1:19">
      <c r="A10" s="117" t="s">
        <v>30</v>
      </c>
      <c r="B10" s="261"/>
      <c r="C10" s="262"/>
      <c r="D10" s="262"/>
      <c r="E10" s="262"/>
      <c r="F10" s="263"/>
      <c r="G10" s="258" t="s">
        <v>47</v>
      </c>
      <c r="H10" s="259"/>
      <c r="I10" s="260"/>
      <c r="J10" s="4" t="s">
        <v>30</v>
      </c>
      <c r="K10" s="261"/>
      <c r="L10" s="262"/>
      <c r="M10" s="262"/>
      <c r="N10" s="262"/>
      <c r="O10" s="263"/>
      <c r="Q10" s="2" t="s">
        <v>31</v>
      </c>
      <c r="R10" s="6">
        <v>100</v>
      </c>
    </row>
    <row r="11" spans="1:19" ht="17.25" thickBot="1">
      <c r="A11" s="118" t="s">
        <v>32</v>
      </c>
      <c r="B11" s="267"/>
      <c r="C11" s="268"/>
      <c r="D11" s="268"/>
      <c r="E11" s="268"/>
      <c r="F11" s="269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7"/>
      <c r="L11" s="268"/>
      <c r="M11" s="268"/>
      <c r="N11" s="268"/>
      <c r="O11" s="269"/>
      <c r="Q11" s="61" t="s">
        <v>33</v>
      </c>
      <c r="R11" s="8">
        <v>1000</v>
      </c>
    </row>
    <row r="12" spans="1:19" ht="17.25" thickBot="1"/>
    <row r="13" spans="1:19" ht="17.25" customHeight="1" thickBot="1">
      <c r="A13" s="249" t="s">
        <v>34</v>
      </c>
      <c r="B13" s="250"/>
      <c r="C13" s="250"/>
      <c r="D13" s="250"/>
      <c r="E13" s="250"/>
      <c r="F13" s="250"/>
      <c r="G13" s="250"/>
      <c r="H13" s="250"/>
      <c r="I13" s="250"/>
      <c r="J13" s="250"/>
      <c r="K13" s="250"/>
      <c r="L13" s="250"/>
      <c r="M13" s="250"/>
      <c r="N13" s="250"/>
      <c r="O13" s="251"/>
      <c r="Q13" s="270"/>
      <c r="R13" s="270"/>
      <c r="S13" s="270"/>
    </row>
    <row r="14" spans="1:19" ht="17.25" customHeight="1" thickBot="1">
      <c r="A14" s="149" t="s">
        <v>35</v>
      </c>
      <c r="B14" s="249" t="s">
        <v>36</v>
      </c>
      <c r="C14" s="251"/>
      <c r="D14" s="249" t="s">
        <v>37</v>
      </c>
      <c r="E14" s="250"/>
      <c r="F14" s="251"/>
      <c r="G14" s="276">
        <f>_xlfn.IFNA(VLOOKUP(B14, 현재가테이블!$B$2:$D$200, 2, FALSE), "-")</f>
        <v>60874000</v>
      </c>
      <c r="H14" s="277"/>
      <c r="I14" s="278"/>
      <c r="J14" s="249" t="s">
        <v>38</v>
      </c>
      <c r="K14" s="250"/>
      <c r="L14" s="251"/>
      <c r="M14" s="279">
        <f>_xlfn.IFNA(VLOOKUP(B14, 현재가테이블!$B$2:$D$200, 3, FALSE), "-")</f>
        <v>-1.4936000099999999E-2</v>
      </c>
      <c r="N14" s="280"/>
      <c r="O14" s="281"/>
      <c r="Q14" s="270"/>
      <c r="R14" s="270"/>
      <c r="S14" s="270"/>
    </row>
    <row r="15" spans="1:19" ht="17.25" customHeight="1" thickBot="1">
      <c r="A15" s="314" t="s">
        <v>39</v>
      </c>
      <c r="B15" s="315" t="str">
        <f>TEXT($G$1, "[$-ko-KR]yyyy-mm-dd(ddd) ") &amp; "오전 00:00"</f>
        <v>2021-05-05(수) 오전 00:00</v>
      </c>
      <c r="C15" s="316"/>
      <c r="D15" s="272" t="str">
        <f>TEXT($G$1, "[$-ko-KR]yyyy-mm-dd(ddd) ") &amp; "오후 14:00"</f>
        <v>2021-05-05(수) 오후 14:00</v>
      </c>
      <c r="E15" s="273"/>
      <c r="F15" s="274"/>
      <c r="G15" s="272" t="str">
        <f>TEXT($G$1, "[$-ko-KR]yyyy-mm-dd(ddd) ") &amp; "오후 19:00"</f>
        <v>2021-05-05(수) 오후 19:00</v>
      </c>
      <c r="H15" s="273"/>
      <c r="I15" s="274"/>
      <c r="J15" s="272" t="str">
        <f>TEXT($G$1, "[$-ko-KR]yyyy-mm-dd(ddd) ") &amp; "오후 21:00"</f>
        <v>2021-05-05(수) 오후 21:00</v>
      </c>
      <c r="K15" s="273"/>
      <c r="L15" s="274"/>
      <c r="M15" s="272" t="str">
        <f>TEXT($G$1+1, "[$-ko-KR]yyyy-mm-dd(ddd) ") &amp; "오전 00:00"</f>
        <v>2021-05-06(목) 오전 00:00</v>
      </c>
      <c r="N15" s="273"/>
      <c r="O15" s="274"/>
      <c r="Q15" s="270"/>
      <c r="R15" s="270"/>
      <c r="S15" s="270"/>
    </row>
    <row r="16" spans="1:19" ht="17.25" customHeight="1" thickBot="1">
      <c r="A16" s="314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52" t="s">
        <v>37</v>
      </c>
      <c r="H16" s="153" t="s">
        <v>40</v>
      </c>
      <c r="I16" s="15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75"/>
      <c r="R16" s="275"/>
      <c r="S16" s="275"/>
    </row>
    <row r="17" spans="1:19" ht="17.25" customHeight="1" thickBot="1">
      <c r="A17" s="122"/>
      <c r="B17" s="123" t="str">
        <f>IF(NOT(ISBLANK(_xlfn.IFNA(VLOOKUP($A17, $A$40:$O$199, 2, FALSE), ))), _xlfn.IFNA(VLOOKUP($A17, $A$40:$O$199, 2, FALSE), ), "")</f>
        <v/>
      </c>
      <c r="C17" s="72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6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0"/>
      <c r="R17" s="270"/>
      <c r="S17" s="270"/>
    </row>
    <row r="18" spans="1:19" ht="17.25" customHeight="1" thickBot="1">
      <c r="A18" s="124"/>
      <c r="B18" s="125" t="str">
        <f t="shared" ref="B18:B36" si="0">IF(NOT(ISBLANK(_xlfn.IFNA(VLOOKUP($A18, $A$40:$O$199, 2, FALSE), ))), _xlfn.IFNA(VLOOKUP($A18, $A$40:$O$199, 2, FALSE), ), "")</f>
        <v/>
      </c>
      <c r="C18" s="73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7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0"/>
      <c r="R18" s="270"/>
      <c r="S18" s="270"/>
    </row>
    <row r="19" spans="1:19" ht="17.25" customHeight="1" thickBot="1">
      <c r="A19" s="124"/>
      <c r="B19" s="125" t="str">
        <f t="shared" si="0"/>
        <v/>
      </c>
      <c r="C19" s="73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7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5"/>
      <c r="R19" s="275"/>
      <c r="S19" s="275"/>
    </row>
    <row r="20" spans="1:19" ht="17.25" customHeight="1" thickBot="1">
      <c r="A20" s="124"/>
      <c r="B20" s="125" t="str">
        <f t="shared" si="0"/>
        <v/>
      </c>
      <c r="C20" s="73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7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5"/>
      <c r="R20" s="275"/>
      <c r="S20" s="275"/>
    </row>
    <row r="21" spans="1:19" ht="17.25" customHeight="1" thickBot="1">
      <c r="A21" s="126"/>
      <c r="B21" s="127" t="str">
        <f t="shared" si="0"/>
        <v/>
      </c>
      <c r="C21" s="74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1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5"/>
      <c r="R21" s="275"/>
      <c r="S21" s="275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75"/>
      <c r="R22" s="275"/>
      <c r="S22" s="275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5"/>
      <c r="R23" s="275"/>
      <c r="S23" s="275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5"/>
      <c r="R24" s="275"/>
      <c r="S24" s="275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84"/>
      <c r="R26" s="285"/>
      <c r="S26" s="286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7"/>
      <c r="R27" s="288"/>
      <c r="S27" s="289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0"/>
      <c r="R28" s="291"/>
      <c r="S28" s="292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5"/>
      <c r="R29" s="275"/>
      <c r="S29" s="275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0"/>
      <c r="R30" s="270"/>
      <c r="S30" s="270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0"/>
      <c r="R31" s="270"/>
      <c r="S31" s="270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75"/>
      <c r="R32" s="275"/>
      <c r="S32" s="275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5"/>
      <c r="R33" s="275"/>
      <c r="S33" s="275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5"/>
      <c r="R34" s="275"/>
      <c r="S34" s="275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7"/>
      <c r="R35" s="298"/>
      <c r="S35" s="299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00"/>
      <c r="R36" s="301"/>
      <c r="S36" s="302"/>
    </row>
    <row r="37" spans="1:19" ht="17.25" customHeight="1" thickBot="1">
      <c r="A37" s="131" t="s">
        <v>42</v>
      </c>
      <c r="B37" s="308">
        <v>150000</v>
      </c>
      <c r="C37" s="30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3"/>
      <c r="R37" s="304"/>
      <c r="S37" s="305"/>
    </row>
    <row r="38" spans="1:19" ht="17.25" customHeight="1"/>
    <row r="39" spans="1:19" ht="17.25" customHeight="1" thickBot="1"/>
    <row r="40" spans="1:19" ht="17.25" customHeight="1" thickBot="1">
      <c r="A40" s="249" t="s">
        <v>44</v>
      </c>
      <c r="B40" s="250"/>
      <c r="C40" s="250"/>
      <c r="D40" s="250"/>
      <c r="E40" s="250"/>
      <c r="F40" s="250"/>
      <c r="G40" s="250"/>
      <c r="H40" s="250"/>
      <c r="I40" s="250"/>
      <c r="J40" s="250"/>
      <c r="K40" s="250"/>
      <c r="L40" s="250"/>
      <c r="M40" s="250"/>
      <c r="N40" s="250"/>
      <c r="O40" s="251"/>
      <c r="Q40" s="270"/>
      <c r="R40" s="270"/>
      <c r="S40" s="270"/>
    </row>
    <row r="41" spans="1:19" ht="17.25" customHeight="1" thickBot="1">
      <c r="A41" s="149" t="s">
        <v>298</v>
      </c>
      <c r="B41" s="249" t="s">
        <v>49</v>
      </c>
      <c r="C41" s="251"/>
      <c r="D41" s="249" t="s">
        <v>58</v>
      </c>
      <c r="E41" s="250"/>
      <c r="F41" s="251"/>
      <c r="G41" s="276">
        <f>_xlfn.IFNA(VLOOKUP(B41, 현재가테이블!$B$2:$D$200, 2, FALSE), "-")</f>
        <v>60874000</v>
      </c>
      <c r="H41" s="277"/>
      <c r="I41" s="278"/>
      <c r="J41" s="249" t="s">
        <v>59</v>
      </c>
      <c r="K41" s="250"/>
      <c r="L41" s="251"/>
      <c r="M41" s="279">
        <f>_xlfn.IFNA(VLOOKUP(B41, 현재가테이블!$B$2:$D$200, 3, FALSE), "-")</f>
        <v>-1.4936000099999999E-2</v>
      </c>
      <c r="N41" s="280"/>
      <c r="O41" s="281"/>
      <c r="Q41" s="270"/>
      <c r="R41" s="270"/>
      <c r="S41" s="270"/>
    </row>
    <row r="42" spans="1:19" ht="17.25" customHeight="1" thickBot="1">
      <c r="A42" s="310" t="s">
        <v>55</v>
      </c>
      <c r="B42" s="312" t="str">
        <f>TEXT($G$1, "[$-ko-KR]yyyy-mm-dd(ddd) ") &amp; "오전 00:00"</f>
        <v>2021-05-05(수) 오전 00:00</v>
      </c>
      <c r="C42" s="313"/>
      <c r="D42" s="272" t="str">
        <f>TEXT($G$1, "[$-ko-KR]yyyy-mm-dd(ddd) ") &amp; "오후 14:00"</f>
        <v>2021-05-05(수) 오후 14:00</v>
      </c>
      <c r="E42" s="273"/>
      <c r="F42" s="274"/>
      <c r="G42" s="272" t="str">
        <f>TEXT($G$1, "[$-ko-KR]yyyy-mm-dd(ddd) ") &amp; "오후 19:00"</f>
        <v>2021-05-05(수) 오후 19:00</v>
      </c>
      <c r="H42" s="273"/>
      <c r="I42" s="274"/>
      <c r="J42" s="272" t="str">
        <f>TEXT($G$1, "[$-ko-KR]yyyy-mm-dd(ddd) ") &amp; "오후 21:00"</f>
        <v>2021-05-05(수) 오후 21:00</v>
      </c>
      <c r="K42" s="273"/>
      <c r="L42" s="274"/>
      <c r="M42" s="272" t="str">
        <f>TEXT($G$1+1, "[$-ko-KR]yyyy-mm-dd(ddd) ") &amp; "오전 00:00"</f>
        <v>2021-05-06(목) 오전 00:00</v>
      </c>
      <c r="N42" s="273"/>
      <c r="O42" s="274"/>
      <c r="Q42" s="270"/>
      <c r="R42" s="270"/>
      <c r="S42" s="270"/>
    </row>
    <row r="43" spans="1:19" ht="17.25" customHeight="1" thickBot="1">
      <c r="A43" s="311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52" t="s">
        <v>58</v>
      </c>
      <c r="H43" s="153" t="s">
        <v>299</v>
      </c>
      <c r="I43" s="15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75"/>
      <c r="R43" s="275"/>
      <c r="S43" s="275"/>
    </row>
    <row r="44" spans="1:19" ht="17.25" customHeight="1" thickBot="1">
      <c r="A44" s="122" t="s">
        <v>220</v>
      </c>
      <c r="B44" s="123">
        <v>23.5</v>
      </c>
      <c r="C44" s="72">
        <v>2.1739130400000001E-2</v>
      </c>
      <c r="D44" s="13">
        <v>21.4</v>
      </c>
      <c r="E44" s="14">
        <f>IF(ISNUMBER(D44), (D44 - $B44) / $B44, "")</f>
        <v>-8.9361702127659634E-2</v>
      </c>
      <c r="F44" s="16">
        <f>IF(ISNUMBER(D44), $B64 * E44, "")</f>
        <v>-13404.255319148946</v>
      </c>
      <c r="G44" s="29">
        <v>21.6</v>
      </c>
      <c r="H44" s="14">
        <f>IF(ISNUMBER(G44), (G44 - $B44) / $B44, "")</f>
        <v>-8.085106382978717E-2</v>
      </c>
      <c r="I44" s="96">
        <f>IF(ISNUMBER(G44), $B64 * H44, "")</f>
        <v>-12127.659574468076</v>
      </c>
      <c r="J44" s="13">
        <v>21.6</v>
      </c>
      <c r="K44" s="14">
        <f>IF(ISNUMBER(J44), (J44 - $B44) / $B44, "")</f>
        <v>-8.085106382978717E-2</v>
      </c>
      <c r="L44" s="16">
        <f>IF(ISNUMBER(J44), $B64 * K44, "")</f>
        <v>-12127.659574468076</v>
      </c>
      <c r="M44" s="29">
        <v>22.3</v>
      </c>
      <c r="N44" s="14">
        <f>IF(ISNUMBER(M44), (M44 - $B44) / $B44, "")</f>
        <v>-5.1063829787234012E-2</v>
      </c>
      <c r="O44" s="16">
        <f>IF(ISNUMBER(M44), $B64 * N44, "")</f>
        <v>-7659.5744680851021</v>
      </c>
      <c r="Q44" s="270"/>
      <c r="R44" s="270"/>
      <c r="S44" s="270"/>
    </row>
    <row r="45" spans="1:19" ht="17.25" customHeight="1" thickBot="1">
      <c r="A45" s="124" t="s">
        <v>154</v>
      </c>
      <c r="B45" s="125">
        <v>22.9</v>
      </c>
      <c r="C45" s="73">
        <v>-4.5833333300000001E-2</v>
      </c>
      <c r="D45" s="15">
        <v>20.9</v>
      </c>
      <c r="E45" s="32">
        <f t="shared" ref="E45:E48" si="14">IF(ISNUMBER(D45), (D45 - $B45) / $B45, "")</f>
        <v>-8.7336244541484725E-2</v>
      </c>
      <c r="F45" s="18">
        <f>IF(ISNUMBER(D45), $B64 * E45, "")</f>
        <v>-13100.436681222709</v>
      </c>
      <c r="G45" s="31">
        <v>21.6</v>
      </c>
      <c r="H45" s="32">
        <f t="shared" ref="H45:H48" si="15">IF(ISNUMBER(G45), (G45 - $B45) / $B45, "")</f>
        <v>-5.6768558951964948E-2</v>
      </c>
      <c r="I45" s="97">
        <f>IF(ISNUMBER(G45), $B64 * H45, "")</f>
        <v>-8515.2838427947427</v>
      </c>
      <c r="J45" s="15">
        <v>21.1</v>
      </c>
      <c r="K45" s="32">
        <f t="shared" ref="K45:K48" si="16">IF(ISNUMBER(J45), (J45 - $B45) / $B45, "")</f>
        <v>-7.8602620087336122E-2</v>
      </c>
      <c r="L45" s="18">
        <f>IF(ISNUMBER(J45), $B64 * K45, "")</f>
        <v>-11790.393013100418</v>
      </c>
      <c r="M45" s="31">
        <v>21.5</v>
      </c>
      <c r="N45" s="32">
        <f t="shared" ref="N45:N48" si="17">IF(ISNUMBER(M45), (M45 - $B45) / $B45, "")</f>
        <v>-6.1135371179039243E-2</v>
      </c>
      <c r="O45" s="18">
        <f>IF(ISNUMBER(M45), $B64 * N45, "")</f>
        <v>-9170.3056768558872</v>
      </c>
      <c r="Q45" s="270"/>
      <c r="R45" s="270"/>
      <c r="S45" s="270"/>
    </row>
    <row r="46" spans="1:19" ht="17.25" customHeight="1" thickBot="1">
      <c r="A46" s="124" t="s">
        <v>100</v>
      </c>
      <c r="B46" s="125">
        <v>8.08</v>
      </c>
      <c r="C46" s="73">
        <v>-5.05287897E-2</v>
      </c>
      <c r="D46" s="15">
        <v>8.0399999999999991</v>
      </c>
      <c r="E46" s="32">
        <f t="shared" si="14"/>
        <v>-4.950495049505065E-3</v>
      </c>
      <c r="F46" s="18">
        <f>IF(ISNUMBER(D46), $B64 * E46, "")</f>
        <v>-742.57425742575981</v>
      </c>
      <c r="G46" s="31">
        <v>9.01</v>
      </c>
      <c r="H46" s="32">
        <f t="shared" si="15"/>
        <v>0.11509900990099006</v>
      </c>
      <c r="I46" s="97">
        <f>IF(ISNUMBER(G46), $B64 * H46, "")</f>
        <v>17264.851485148509</v>
      </c>
      <c r="J46" s="15">
        <v>8.4600000000000009</v>
      </c>
      <c r="K46" s="32">
        <f t="shared" si="16"/>
        <v>4.7029702970297127E-2</v>
      </c>
      <c r="L46" s="18">
        <f>IF(ISNUMBER(J46), $B64 * K46, "")</f>
        <v>7054.4554455445686</v>
      </c>
      <c r="M46" s="31">
        <v>8.52</v>
      </c>
      <c r="N46" s="32">
        <f t="shared" si="17"/>
        <v>5.4455445544554393E-2</v>
      </c>
      <c r="O46" s="18">
        <f>IF(ISNUMBER(M46), $B64 * N46, "")</f>
        <v>8168.3168316831589</v>
      </c>
      <c r="Q46" s="275"/>
      <c r="R46" s="275"/>
      <c r="S46" s="275"/>
    </row>
    <row r="47" spans="1:19" ht="17.25" customHeight="1" thickBot="1">
      <c r="A47" s="124" t="s">
        <v>196</v>
      </c>
      <c r="B47" s="125">
        <v>21.1</v>
      </c>
      <c r="C47" s="73">
        <v>-7.0484581500000004E-2</v>
      </c>
      <c r="D47" s="15">
        <v>20.3</v>
      </c>
      <c r="E47" s="32">
        <f t="shared" si="14"/>
        <v>-3.7914691943127993E-2</v>
      </c>
      <c r="F47" s="18">
        <f>IF(ISNUMBER(D47), $B64 * E47, "")</f>
        <v>-5687.2037914691991</v>
      </c>
      <c r="G47" s="31">
        <v>20.5</v>
      </c>
      <c r="H47" s="32">
        <f t="shared" si="15"/>
        <v>-2.8436018957346036E-2</v>
      </c>
      <c r="I47" s="97">
        <f>IF(ISNUMBER(G47), $B64 * H47, "")</f>
        <v>-4265.4028436019053</v>
      </c>
      <c r="J47" s="15">
        <v>20.399999999999999</v>
      </c>
      <c r="K47" s="32">
        <f t="shared" si="16"/>
        <v>-3.3175355450237101E-2</v>
      </c>
      <c r="L47" s="18">
        <f>IF(ISNUMBER(J47), $B64 * K47, "")</f>
        <v>-4976.3033175355649</v>
      </c>
      <c r="M47" s="31">
        <v>20.9</v>
      </c>
      <c r="N47" s="32">
        <f t="shared" si="17"/>
        <v>-9.4786729857821248E-3</v>
      </c>
      <c r="O47" s="18">
        <f>IF(ISNUMBER(M47), $B64 * N47, "")</f>
        <v>-1421.8009478673187</v>
      </c>
      <c r="Q47" s="275"/>
      <c r="R47" s="275"/>
      <c r="S47" s="275"/>
    </row>
    <row r="48" spans="1:19" ht="17.25" customHeight="1" thickBot="1">
      <c r="A48" s="126" t="s">
        <v>65</v>
      </c>
      <c r="B48" s="127">
        <v>73.400000000000006</v>
      </c>
      <c r="C48" s="74">
        <v>-7.0886075899999998E-2</v>
      </c>
      <c r="D48" s="20">
        <v>72.599999999999994</v>
      </c>
      <c r="E48" s="21">
        <f t="shared" si="14"/>
        <v>-1.0899182561308056E-2</v>
      </c>
      <c r="F48" s="22">
        <f>IF(ISNUMBER(D48), $B64 * E48, "")</f>
        <v>-1634.8773841962084</v>
      </c>
      <c r="G48" s="30">
        <v>73.900000000000006</v>
      </c>
      <c r="H48" s="21">
        <f t="shared" si="15"/>
        <v>6.8119891008174378E-3</v>
      </c>
      <c r="I48" s="101">
        <f>IF(ISNUMBER(G48), $B64 * H48, "")</f>
        <v>1021.7983651226157</v>
      </c>
      <c r="J48" s="20">
        <v>72.099999999999994</v>
      </c>
      <c r="K48" s="21">
        <f t="shared" si="16"/>
        <v>-1.7711171662125495E-2</v>
      </c>
      <c r="L48" s="22">
        <f>IF(ISNUMBER(J48), $B64 * K48, "")</f>
        <v>-2656.6757493188243</v>
      </c>
      <c r="M48" s="30">
        <v>73.8</v>
      </c>
      <c r="N48" s="21">
        <f t="shared" si="17"/>
        <v>5.4495912806538345E-3</v>
      </c>
      <c r="O48" s="22">
        <f>IF(ISNUMBER(M48), $B64 * N48, "")</f>
        <v>817.43869209807519</v>
      </c>
      <c r="Q48" s="275"/>
      <c r="R48" s="275"/>
      <c r="S48" s="275"/>
    </row>
    <row r="49" spans="1:19" ht="17.25" customHeight="1" thickBot="1">
      <c r="A49" s="124" t="s">
        <v>254</v>
      </c>
      <c r="B49" s="128">
        <v>92.9</v>
      </c>
      <c r="C49" s="76">
        <v>-7.0999999999999994E-2</v>
      </c>
      <c r="D49" s="102">
        <v>86</v>
      </c>
      <c r="E49" s="103">
        <f>IF(ISNUMBER(D49), (D49 - $B49) / $B49, "")</f>
        <v>-7.427341227125947E-2</v>
      </c>
      <c r="F49" s="104">
        <f>IF(ISNUMBER(D49), $B64 * E49, "")</f>
        <v>-11141.011840688921</v>
      </c>
      <c r="G49" s="105">
        <v>88.1</v>
      </c>
      <c r="H49" s="103">
        <f>IF(ISNUMBER(G49), (G49 - $B49) / $B49, "")</f>
        <v>-5.1668460710441455E-2</v>
      </c>
      <c r="I49" s="106">
        <f>IF(ISNUMBER(G49), $B64 * H49, "")</f>
        <v>-7750.2691065662184</v>
      </c>
      <c r="J49" s="102">
        <v>86.5</v>
      </c>
      <c r="K49" s="103">
        <f>IF(ISNUMBER(J49), (J49 - $B49) / $B49, "")</f>
        <v>-6.8891280947255176E-2</v>
      </c>
      <c r="L49" s="104">
        <f>IF(ISNUMBER(J49), $B64 * K49, "")</f>
        <v>-10333.692142088277</v>
      </c>
      <c r="M49" s="105">
        <v>93.6</v>
      </c>
      <c r="N49" s="103">
        <f>IF(ISNUMBER(M49), (M49 - $B49) / $B49, "")</f>
        <v>7.534983853605905E-3</v>
      </c>
      <c r="O49" s="104">
        <f>IF(ISNUMBER(M49), $B64 * N49, "")</f>
        <v>1130.2475780408859</v>
      </c>
      <c r="Q49" s="275"/>
      <c r="R49" s="275"/>
      <c r="S49" s="275"/>
    </row>
    <row r="50" spans="1:19" ht="17.25" customHeight="1" thickBot="1">
      <c r="A50" s="124" t="s">
        <v>72</v>
      </c>
      <c r="B50" s="125">
        <v>35.6</v>
      </c>
      <c r="C50" s="73">
        <v>-7.2916666699999994E-2</v>
      </c>
      <c r="D50" s="15">
        <v>34.6</v>
      </c>
      <c r="E50" s="32">
        <f t="shared" ref="E50:E53" si="18">IF(ISNUMBER(D50), (D50 - $B50) / $B50, "")</f>
        <v>-2.8089887640449437E-2</v>
      </c>
      <c r="F50" s="18">
        <f>IF(ISNUMBER(D50), $B64 * E50, "")</f>
        <v>-4213.4831460674159</v>
      </c>
      <c r="G50" s="31">
        <v>35.9</v>
      </c>
      <c r="H50" s="32">
        <f t="shared" ref="H50:H53" si="19">IF(ISNUMBER(G50), (G50 - $B50) / $B50, "")</f>
        <v>8.4269662921347514E-3</v>
      </c>
      <c r="I50" s="97">
        <f>IF(ISNUMBER(G50), $B64 * H50, "")</f>
        <v>1264.0449438202127</v>
      </c>
      <c r="J50" s="15">
        <v>35.1</v>
      </c>
      <c r="K50" s="32">
        <f t="shared" ref="K50:K53" si="20">IF(ISNUMBER(J50), (J50 - $B50) / $B50, "")</f>
        <v>-1.4044943820224719E-2</v>
      </c>
      <c r="L50" s="18">
        <f>IF(ISNUMBER(J50), $B64 * K50, "")</f>
        <v>-2106.7415730337079</v>
      </c>
      <c r="M50" s="31">
        <v>36.1</v>
      </c>
      <c r="N50" s="32">
        <f t="shared" ref="N50:N53" si="21">IF(ISNUMBER(M50), (M50 - $B50) / $B50, "")</f>
        <v>1.4044943820224719E-2</v>
      </c>
      <c r="O50" s="18">
        <f>IF(ISNUMBER(M50), $B64 * N50, "")</f>
        <v>2106.7415730337079</v>
      </c>
      <c r="Q50" s="275"/>
      <c r="R50" s="275"/>
      <c r="S50" s="275"/>
    </row>
    <row r="51" spans="1:19" ht="17.25" customHeight="1" thickBot="1">
      <c r="A51" s="124" t="s">
        <v>214</v>
      </c>
      <c r="B51" s="125">
        <v>23.5</v>
      </c>
      <c r="C51" s="73">
        <v>-7.8431372499999999E-2</v>
      </c>
      <c r="D51" s="15">
        <v>21.6</v>
      </c>
      <c r="E51" s="32">
        <f t="shared" si="18"/>
        <v>-8.085106382978717E-2</v>
      </c>
      <c r="F51" s="18">
        <f>IF(ISNUMBER(D51), $B64 * E51, "")</f>
        <v>-12127.659574468076</v>
      </c>
      <c r="G51" s="31">
        <v>22.3</v>
      </c>
      <c r="H51" s="32">
        <f t="shared" si="19"/>
        <v>-5.1063829787234012E-2</v>
      </c>
      <c r="I51" s="97">
        <f>IF(ISNUMBER(G51), $B64 * H51, "")</f>
        <v>-7659.5744680851021</v>
      </c>
      <c r="J51" s="15">
        <v>21.9</v>
      </c>
      <c r="K51" s="32">
        <f t="shared" si="20"/>
        <v>-6.808510638297878E-2</v>
      </c>
      <c r="L51" s="18">
        <f>IF(ISNUMBER(J51), $B64 * K51, "")</f>
        <v>-10212.765957446816</v>
      </c>
      <c r="M51" s="31">
        <v>22.4</v>
      </c>
      <c r="N51" s="32">
        <f t="shared" si="21"/>
        <v>-4.6808510638297933E-2</v>
      </c>
      <c r="O51" s="18">
        <f>IF(ISNUMBER(M51), $B64 * N51, "")</f>
        <v>-7021.27659574469</v>
      </c>
      <c r="Q51" s="275"/>
      <c r="R51" s="275"/>
      <c r="S51" s="275"/>
    </row>
    <row r="52" spans="1:19" ht="17.25" customHeight="1" thickBot="1">
      <c r="A52" s="124" t="s">
        <v>172</v>
      </c>
      <c r="B52" s="125">
        <v>26.5</v>
      </c>
      <c r="C52" s="73">
        <v>-7.9861111100000007E-2</v>
      </c>
      <c r="D52" s="15">
        <v>25.1</v>
      </c>
      <c r="E52" s="32">
        <f t="shared" si="18"/>
        <v>-5.283018867924523E-2</v>
      </c>
      <c r="F52" s="18">
        <f>IF(ISNUMBER(D52), $B64 * E52, "")</f>
        <v>-7924.5283018867849</v>
      </c>
      <c r="G52" s="31">
        <v>25.3</v>
      </c>
      <c r="H52" s="32">
        <f t="shared" si="19"/>
        <v>-4.5283018867924504E-2</v>
      </c>
      <c r="I52" s="97">
        <f>IF(ISNUMBER(G52), $B64 * H52, "")</f>
        <v>-6792.4528301886758</v>
      </c>
      <c r="J52" s="15">
        <v>25.3</v>
      </c>
      <c r="K52" s="32">
        <f t="shared" si="20"/>
        <v>-4.5283018867924504E-2</v>
      </c>
      <c r="L52" s="18">
        <f>IF(ISNUMBER(J52), $B64 * K52, "")</f>
        <v>-6792.4528301886758</v>
      </c>
      <c r="M52" s="31">
        <v>25.6</v>
      </c>
      <c r="N52" s="32">
        <f t="shared" si="21"/>
        <v>-3.396226415094334E-2</v>
      </c>
      <c r="O52" s="18">
        <f>IF(ISNUMBER(M52), $B64 * N52, "")</f>
        <v>-5094.3396226415007</v>
      </c>
      <c r="Q52" s="33"/>
      <c r="R52" s="33"/>
    </row>
    <row r="53" spans="1:19" ht="17.25" customHeight="1" thickBot="1">
      <c r="A53" s="129" t="s">
        <v>228</v>
      </c>
      <c r="B53" s="130">
        <v>19.5</v>
      </c>
      <c r="C53" s="75">
        <v>-8.0188679200000001E-2</v>
      </c>
      <c r="D53" s="24">
        <v>18</v>
      </c>
      <c r="E53" s="25">
        <f t="shared" si="18"/>
        <v>-7.6923076923076927E-2</v>
      </c>
      <c r="F53" s="100">
        <f>IF(ISNUMBER(D53), $B64 * E53, "")</f>
        <v>-11538.461538461539</v>
      </c>
      <c r="G53" s="98">
        <v>18.600000000000001</v>
      </c>
      <c r="H53" s="25">
        <f t="shared" si="19"/>
        <v>-4.615384615384608E-2</v>
      </c>
      <c r="I53" s="99">
        <f>IF(ISNUMBER(G53), $B64 * H53, "")</f>
        <v>-6923.076923076912</v>
      </c>
      <c r="J53" s="24">
        <v>18.3</v>
      </c>
      <c r="K53" s="25">
        <f t="shared" si="20"/>
        <v>-6.15384615384615E-2</v>
      </c>
      <c r="L53" s="100">
        <f>IF(ISNUMBER(J53), $B64 * K53, "")</f>
        <v>-9230.769230769225</v>
      </c>
      <c r="M53" s="98">
        <v>18.7</v>
      </c>
      <c r="N53" s="25">
        <f t="shared" si="21"/>
        <v>-4.102564102564106E-2</v>
      </c>
      <c r="O53" s="100">
        <f>IF(ISNUMBER(M53), $B64 * N53, "")</f>
        <v>-6153.8461538461588</v>
      </c>
      <c r="Q53" s="284"/>
      <c r="R53" s="285"/>
      <c r="S53" s="286"/>
    </row>
    <row r="54" spans="1:19" ht="17.25" customHeight="1">
      <c r="A54" s="122" t="s">
        <v>222</v>
      </c>
      <c r="B54" s="123">
        <v>19.3</v>
      </c>
      <c r="C54" s="72">
        <v>-8.0952381000000004E-2</v>
      </c>
      <c r="D54" s="13">
        <v>18</v>
      </c>
      <c r="E54" s="14">
        <f>IF(ISNUMBER(D54), (D54 - $B54) / $B54, "")</f>
        <v>-6.7357512953367907E-2</v>
      </c>
      <c r="F54" s="16">
        <f>IF(ISNUMBER(D54), $B64 * E54, "")</f>
        <v>-10103.626943005185</v>
      </c>
      <c r="G54" s="29">
        <v>18.7</v>
      </c>
      <c r="H54" s="14">
        <f>IF(ISNUMBER(G54), (G54 - $B54) / $B54, "")</f>
        <v>-3.1088082901554476E-2</v>
      </c>
      <c r="I54" s="96">
        <f>IF(ISNUMBER(G54), $B64 * H54, "")</f>
        <v>-4663.2124352331712</v>
      </c>
      <c r="J54" s="13">
        <v>18.2</v>
      </c>
      <c r="K54" s="14">
        <f>IF(ISNUMBER(J54), (J54 - $B54) / $B54, "")</f>
        <v>-5.6994818652849812E-2</v>
      </c>
      <c r="L54" s="16">
        <f>IF(ISNUMBER(J54), $B64 * K54, "")</f>
        <v>-8549.2227979274721</v>
      </c>
      <c r="M54" s="29">
        <v>18.7</v>
      </c>
      <c r="N54" s="14">
        <f>IF(ISNUMBER(M54), (M54 - $B54) / $B54, "")</f>
        <v>-3.1088082901554476E-2</v>
      </c>
      <c r="O54" s="16">
        <f>IF(ISNUMBER(M54), $B64 * N54, "")</f>
        <v>-4663.2124352331712</v>
      </c>
      <c r="Q54" s="287"/>
      <c r="R54" s="288"/>
      <c r="S54" s="289"/>
    </row>
    <row r="55" spans="1:19" ht="17.25" customHeight="1" thickBot="1">
      <c r="A55" s="124" t="s">
        <v>236</v>
      </c>
      <c r="B55" s="125">
        <v>72.2</v>
      </c>
      <c r="C55" s="73">
        <v>-8.7231352700000001E-2</v>
      </c>
      <c r="D55" s="15">
        <v>67.7</v>
      </c>
      <c r="E55" s="32">
        <f t="shared" ref="E55:E58" si="22">IF(ISNUMBER(D55), (D55 - $B55) / $B55, "")</f>
        <v>-6.2326869806094178E-2</v>
      </c>
      <c r="F55" s="18">
        <f>IF(ISNUMBER(D55), $B64 * E55, "")</f>
        <v>-9349.0304709141274</v>
      </c>
      <c r="G55" s="31">
        <v>68.900000000000006</v>
      </c>
      <c r="H55" s="32">
        <f t="shared" ref="H55:H58" si="23">IF(ISNUMBER(G55), (G55 - $B55) / $B55, "")</f>
        <v>-4.5706371191135693E-2</v>
      </c>
      <c r="I55" s="97">
        <f>IF(ISNUMBER(G55), $B64 * H55, "")</f>
        <v>-6855.9556786703542</v>
      </c>
      <c r="J55" s="15">
        <v>68</v>
      </c>
      <c r="K55" s="32">
        <f t="shared" ref="K55:K58" si="24">IF(ISNUMBER(J55), (J55 - $B55) / $B55, "")</f>
        <v>-5.8171745152354605E-2</v>
      </c>
      <c r="L55" s="18">
        <f>IF(ISNUMBER(J55), $B64 * K55, "")</f>
        <v>-8725.7617728531914</v>
      </c>
      <c r="M55" s="31">
        <v>69.599999999999994</v>
      </c>
      <c r="N55" s="32">
        <f t="shared" ref="N55:N58" si="25">IF(ISNUMBER(M55), (M55 - $B55) / $B55, "")</f>
        <v>-3.6011080332410086E-2</v>
      </c>
      <c r="O55" s="18">
        <f>IF(ISNUMBER(M55), $B64 * N55, "")</f>
        <v>-5401.662049861513</v>
      </c>
      <c r="Q55" s="290"/>
      <c r="R55" s="291"/>
      <c r="S55" s="292"/>
    </row>
    <row r="56" spans="1:19" ht="17.25" customHeight="1" thickBot="1">
      <c r="A56" s="124" t="s">
        <v>218</v>
      </c>
      <c r="B56" s="125">
        <v>30.3</v>
      </c>
      <c r="C56" s="73">
        <v>-8.7349397600000003E-2</v>
      </c>
      <c r="D56" s="15">
        <v>28.1</v>
      </c>
      <c r="E56" s="32">
        <f t="shared" si="22"/>
        <v>-7.2607260726072584E-2</v>
      </c>
      <c r="F56" s="18">
        <f>IF(ISNUMBER(D56), $B64 * E56, "")</f>
        <v>-10891.089108910888</v>
      </c>
      <c r="G56" s="31">
        <v>28.7</v>
      </c>
      <c r="H56" s="32">
        <f t="shared" si="23"/>
        <v>-5.2805280528052848E-2</v>
      </c>
      <c r="I56" s="97">
        <f>IF(ISNUMBER(G56), $B64 * H56, "")</f>
        <v>-7920.7920792079267</v>
      </c>
      <c r="J56" s="15">
        <v>28.4</v>
      </c>
      <c r="K56" s="32">
        <f t="shared" si="24"/>
        <v>-6.2706270627062771E-2</v>
      </c>
      <c r="L56" s="18">
        <f>IF(ISNUMBER(J56), $B64 * K56, "")</f>
        <v>-9405.9405940594152</v>
      </c>
      <c r="M56" s="31">
        <v>28.8</v>
      </c>
      <c r="N56" s="32">
        <f t="shared" si="25"/>
        <v>-4.95049504950495E-2</v>
      </c>
      <c r="O56" s="18">
        <f>IF(ISNUMBER(M56), $B64 * N56, "")</f>
        <v>-7425.7425742574251</v>
      </c>
      <c r="Q56" s="275"/>
      <c r="R56" s="275"/>
      <c r="S56" s="275"/>
    </row>
    <row r="57" spans="1:19" ht="17.25" customHeight="1" thickBot="1">
      <c r="A57" s="124" t="s">
        <v>186</v>
      </c>
      <c r="B57" s="125">
        <v>27.1</v>
      </c>
      <c r="C57" s="73">
        <v>-8.7542087500000004E-2</v>
      </c>
      <c r="D57" s="15">
        <v>25.5</v>
      </c>
      <c r="E57" s="32">
        <f t="shared" si="22"/>
        <v>-5.9040590405904106E-2</v>
      </c>
      <c r="F57" s="18">
        <f>IF(ISNUMBER(D57), $B64 * E57, "")</f>
        <v>-8856.0885608856152</v>
      </c>
      <c r="G57" s="31">
        <v>25.7</v>
      </c>
      <c r="H57" s="32">
        <f t="shared" si="23"/>
        <v>-5.1660516605166129E-2</v>
      </c>
      <c r="I57" s="97">
        <f>IF(ISNUMBER(G57), $B64 * H57, "")</f>
        <v>-7749.0774907749192</v>
      </c>
      <c r="J57" s="15">
        <v>25.2</v>
      </c>
      <c r="K57" s="32">
        <f t="shared" si="24"/>
        <v>-7.0110701107011147E-2</v>
      </c>
      <c r="L57" s="18">
        <f>IF(ISNUMBER(J57), $B64 * K57, "")</f>
        <v>-10516.605166051671</v>
      </c>
      <c r="M57" s="31">
        <v>25.9</v>
      </c>
      <c r="N57" s="32">
        <f t="shared" si="25"/>
        <v>-4.4280442804428145E-2</v>
      </c>
      <c r="O57" s="18">
        <f>IF(ISNUMBER(M57), $B64 * N57, "")</f>
        <v>-6642.0664206642214</v>
      </c>
      <c r="Q57" s="270"/>
      <c r="R57" s="270"/>
      <c r="S57" s="270"/>
    </row>
    <row r="58" spans="1:19" ht="17.25" customHeight="1" thickBot="1">
      <c r="A58" s="126" t="s">
        <v>198</v>
      </c>
      <c r="B58" s="127">
        <v>29.9</v>
      </c>
      <c r="C58" s="74">
        <v>-8.84146341E-2</v>
      </c>
      <c r="D58" s="20">
        <v>28.2</v>
      </c>
      <c r="E58" s="21">
        <f t="shared" si="22"/>
        <v>-5.6856187290969876E-2</v>
      </c>
      <c r="F58" s="22">
        <f>IF(ISNUMBER(D58), $B64 * E58, "")</f>
        <v>-8528.4280936454816</v>
      </c>
      <c r="G58" s="30">
        <v>28.5</v>
      </c>
      <c r="H58" s="21">
        <f t="shared" si="23"/>
        <v>-4.6822742474916343E-2</v>
      </c>
      <c r="I58" s="101">
        <f>IF(ISNUMBER(G58), $B64 * H58, "")</f>
        <v>-7023.411371237451</v>
      </c>
      <c r="J58" s="20">
        <v>28.2</v>
      </c>
      <c r="K58" s="21">
        <f t="shared" si="24"/>
        <v>-5.6856187290969876E-2</v>
      </c>
      <c r="L58" s="22">
        <f>IF(ISNUMBER(J58), $B64 * K58, "")</f>
        <v>-8528.4280936454816</v>
      </c>
      <c r="M58" s="30">
        <v>29</v>
      </c>
      <c r="N58" s="21">
        <f t="shared" si="25"/>
        <v>-3.0100334448160487E-2</v>
      </c>
      <c r="O58" s="22">
        <f>IF(ISNUMBER(M58), $B64 * N58, "")</f>
        <v>-4515.0501672240734</v>
      </c>
      <c r="Q58" s="270"/>
      <c r="R58" s="270"/>
      <c r="S58" s="270"/>
    </row>
    <row r="59" spans="1:19" ht="17.25" customHeight="1" thickBot="1">
      <c r="A59" s="124" t="s">
        <v>152</v>
      </c>
      <c r="B59" s="128">
        <v>45.6</v>
      </c>
      <c r="C59" s="76">
        <v>-8.9820359299999999E-2</v>
      </c>
      <c r="D59" s="102">
        <v>45.8</v>
      </c>
      <c r="E59" s="103">
        <f>IF(ISNUMBER(D59), (D59 - $B59) / $B59, "")</f>
        <v>4.3859649122806078E-3</v>
      </c>
      <c r="F59" s="104">
        <f>IF(ISNUMBER(D59), $B64 * E59, "")</f>
        <v>657.89473684209122</v>
      </c>
      <c r="G59" s="105">
        <v>47.6</v>
      </c>
      <c r="H59" s="103">
        <f>IF(ISNUMBER(G59), (G59 - $B59) / $B59, "")</f>
        <v>4.3859649122807015E-2</v>
      </c>
      <c r="I59" s="106">
        <f>IF(ISNUMBER(G59), $B64 * H59, "")</f>
        <v>6578.9473684210525</v>
      </c>
      <c r="J59" s="102">
        <v>48.1</v>
      </c>
      <c r="K59" s="103">
        <f>IF(ISNUMBER(J59), (J59 - $B59) / $B59, "")</f>
        <v>5.4824561403508769E-2</v>
      </c>
      <c r="L59" s="104">
        <f>IF(ISNUMBER(J59), $B64 * K59, "")</f>
        <v>8223.6842105263149</v>
      </c>
      <c r="M59" s="105">
        <v>51.5</v>
      </c>
      <c r="N59" s="103">
        <f>IF(ISNUMBER(M59), (M59 - $B59) / $B59, "")</f>
        <v>0.12938596491228066</v>
      </c>
      <c r="O59" s="104">
        <f>IF(ISNUMBER(M59), $B64 * N59, "")</f>
        <v>19407.8947368421</v>
      </c>
      <c r="Q59" s="275"/>
      <c r="R59" s="275"/>
      <c r="S59" s="275"/>
    </row>
    <row r="60" spans="1:19" ht="17.25" customHeight="1" thickBot="1">
      <c r="A60" s="124" t="s">
        <v>126</v>
      </c>
      <c r="B60" s="125">
        <v>63.1</v>
      </c>
      <c r="C60" s="73">
        <v>-9.5988538700000001E-2</v>
      </c>
      <c r="D60" s="15">
        <v>60.1</v>
      </c>
      <c r="E60" s="32">
        <f t="shared" ref="E60:E63" si="26">IF(ISNUMBER(D60), (D60 - $B60) / $B60, "")</f>
        <v>-4.7543581616481777E-2</v>
      </c>
      <c r="F60" s="18">
        <f>IF(ISNUMBER(D60), $B64 * E60, "")</f>
        <v>-7131.5372424722664</v>
      </c>
      <c r="G60" s="31">
        <v>62.1</v>
      </c>
      <c r="H60" s="32">
        <f t="shared" ref="H60:H63" si="27">IF(ISNUMBER(G60), (G60 - $B60) / $B60, "")</f>
        <v>-1.5847860538827259E-2</v>
      </c>
      <c r="I60" s="97">
        <f>IF(ISNUMBER(G60), $B64 * H60, "")</f>
        <v>-2377.1790808240889</v>
      </c>
      <c r="J60" s="15">
        <v>63.8</v>
      </c>
      <c r="K60" s="32">
        <f t="shared" ref="K60:K63" si="28">IF(ISNUMBER(J60), (J60 - $B60) / $B60, "")</f>
        <v>1.1093502377179014E-2</v>
      </c>
      <c r="L60" s="18">
        <f>IF(ISNUMBER(J60), $B64 * K60, "")</f>
        <v>1664.0253565768521</v>
      </c>
      <c r="M60" s="31">
        <v>65.5</v>
      </c>
      <c r="N60" s="32">
        <f t="shared" ref="N60:N63" si="29">IF(ISNUMBER(M60), (M60 - $B60) / $B60, "")</f>
        <v>3.8034865293185394E-2</v>
      </c>
      <c r="O60" s="18">
        <f>IF(ISNUMBER(M60), $B64 * N60, "")</f>
        <v>5705.2297939778091</v>
      </c>
      <c r="Q60" s="275"/>
      <c r="R60" s="275"/>
      <c r="S60" s="275"/>
    </row>
    <row r="61" spans="1:19" ht="17.25" customHeight="1" thickBot="1">
      <c r="A61" s="124"/>
      <c r="B61" s="125"/>
      <c r="C61" s="73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97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275"/>
      <c r="R61" s="275"/>
      <c r="S61" s="275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97"/>
      <c r="R62" s="298"/>
      <c r="S62" s="299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00"/>
      <c r="R63" s="301"/>
      <c r="S63" s="302"/>
    </row>
    <row r="64" spans="1:19" ht="17.25" customHeight="1" thickBot="1">
      <c r="A64" s="131" t="s">
        <v>301</v>
      </c>
      <c r="B64" s="308">
        <f>$B$37</f>
        <v>150000</v>
      </c>
      <c r="C64" s="309"/>
      <c r="D64" s="26" t="s">
        <v>302</v>
      </c>
      <c r="E64" s="27">
        <f>IF(COUNT(E44:E63), SUM(E44:E63) / COUNT(E44:E63), 0)</f>
        <v>-5.3222116673736088E-2</v>
      </c>
      <c r="F64" s="28">
        <f>SUM(F44:F63)</f>
        <v>-135716.39751802705</v>
      </c>
      <c r="G64" s="26" t="s">
        <v>302</v>
      </c>
      <c r="H64" s="27">
        <f>IF(COUNT(H44:H63), SUM(H44:H63) / COUNT(H44:H63), 0)</f>
        <v>-2.5291649240085156E-2</v>
      </c>
      <c r="I64" s="28">
        <f>SUM(I44:I63)</f>
        <v>-64493.705562217161</v>
      </c>
      <c r="J64" s="26" t="s">
        <v>302</v>
      </c>
      <c r="K64" s="27">
        <f>IF(COUNT(K44:K63), SUM(K44:K63) / COUNT(K44:K63), 0)</f>
        <v>-3.8827939921505517E-2</v>
      </c>
      <c r="L64" s="28">
        <f>SUM(L44:L63)</f>
        <v>-99011.246799839064</v>
      </c>
      <c r="M64" s="26" t="s">
        <v>302</v>
      </c>
      <c r="N64" s="27">
        <f>IF(COUNT(N44:N63), SUM(N44:N63) / COUNT(N44:N63), 0)</f>
        <v>-1.0914905061413859E-2</v>
      </c>
      <c r="O64" s="28">
        <f>SUM(O44:O63)</f>
        <v>-27833.007906605329</v>
      </c>
      <c r="Q64" s="303"/>
      <c r="R64" s="304"/>
      <c r="S64" s="305"/>
    </row>
    <row r="65" spans="1:19" ht="17.25" customHeight="1"/>
    <row r="66" spans="1:19" ht="17.25" customHeight="1" thickBot="1"/>
    <row r="67" spans="1:19" ht="17.25" thickBot="1">
      <c r="A67" s="249" t="s">
        <v>45</v>
      </c>
      <c r="B67" s="250"/>
      <c r="C67" s="250"/>
      <c r="D67" s="250"/>
      <c r="E67" s="250"/>
      <c r="F67" s="250"/>
      <c r="G67" s="250"/>
      <c r="H67" s="250"/>
      <c r="I67" s="250"/>
      <c r="J67" s="250"/>
      <c r="K67" s="250"/>
      <c r="L67" s="250"/>
      <c r="M67" s="250"/>
      <c r="N67" s="250"/>
      <c r="O67" s="251"/>
      <c r="Q67" s="270"/>
      <c r="R67" s="270"/>
      <c r="S67" s="270"/>
    </row>
    <row r="68" spans="1:19" ht="17.25" thickBot="1">
      <c r="A68" s="149" t="s">
        <v>298</v>
      </c>
      <c r="B68" s="249" t="s">
        <v>49</v>
      </c>
      <c r="C68" s="251"/>
      <c r="D68" s="249" t="s">
        <v>58</v>
      </c>
      <c r="E68" s="250"/>
      <c r="F68" s="251"/>
      <c r="G68" s="276">
        <f>_xlfn.IFNA(VLOOKUP(B68, 현재가테이블!$B$2:$D$200, 2, FALSE), "-")</f>
        <v>60874000</v>
      </c>
      <c r="H68" s="277"/>
      <c r="I68" s="278"/>
      <c r="J68" s="249" t="s">
        <v>59</v>
      </c>
      <c r="K68" s="250"/>
      <c r="L68" s="251"/>
      <c r="M68" s="279">
        <f>_xlfn.IFNA(VLOOKUP(B68, 현재가테이블!$B$2:$D$200, 3, FALSE), "-")</f>
        <v>-1.4936000099999999E-2</v>
      </c>
      <c r="N68" s="280"/>
      <c r="O68" s="281"/>
      <c r="Q68" s="270"/>
      <c r="R68" s="270"/>
      <c r="S68" s="270"/>
    </row>
    <row r="69" spans="1:19" ht="17.25" thickBot="1">
      <c r="A69" s="310" t="s">
        <v>55</v>
      </c>
      <c r="B69" s="312" t="str">
        <f>TEXT($G$1, "[$-ko-KR]yyyy-mm-dd(ddd) ") &amp; "오전 00:00"</f>
        <v>2021-05-05(수) 오전 00:00</v>
      </c>
      <c r="C69" s="313"/>
      <c r="D69" s="272" t="str">
        <f>TEXT($G$1, "[$-ko-KR]yyyy-mm-dd(ddd) ") &amp; "오후 14:00"</f>
        <v>2021-05-05(수) 오후 14:00</v>
      </c>
      <c r="E69" s="273"/>
      <c r="F69" s="274"/>
      <c r="G69" s="272" t="str">
        <f>TEXT($G$1, "[$-ko-KR]yyyy-mm-dd(ddd) ") &amp; "오후 19:00"</f>
        <v>2021-05-05(수) 오후 19:00</v>
      </c>
      <c r="H69" s="273"/>
      <c r="I69" s="274"/>
      <c r="J69" s="272" t="str">
        <f>TEXT($G$1, "[$-ko-KR]yyyy-mm-dd(ddd) ") &amp; "오후 21:00"</f>
        <v>2021-05-05(수) 오후 21:00</v>
      </c>
      <c r="K69" s="273"/>
      <c r="L69" s="274"/>
      <c r="M69" s="272" t="str">
        <f>TEXT($G$1+1, "[$-ko-KR]yyyy-mm-dd(ddd) ") &amp; "오전 00:00"</f>
        <v>2021-05-06(목) 오전 00:00</v>
      </c>
      <c r="N69" s="273"/>
      <c r="O69" s="274"/>
      <c r="Q69" s="270"/>
      <c r="R69" s="270"/>
      <c r="S69" s="270"/>
    </row>
    <row r="70" spans="1:19" ht="17.25" thickBot="1">
      <c r="A70" s="311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52" t="s">
        <v>58</v>
      </c>
      <c r="H70" s="153" t="s">
        <v>299</v>
      </c>
      <c r="I70" s="15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75"/>
      <c r="R70" s="275"/>
      <c r="S70" s="275"/>
    </row>
    <row r="71" spans="1:19" ht="17.25" thickBot="1">
      <c r="A71" s="122" t="s">
        <v>296</v>
      </c>
      <c r="B71" s="123">
        <v>664</v>
      </c>
      <c r="C71" s="72">
        <v>0.2319109462</v>
      </c>
      <c r="D71" s="13">
        <v>869</v>
      </c>
      <c r="E71" s="14">
        <f>IF(ISNUMBER(D71), (D71 - $B71) / $B71, "")</f>
        <v>0.30873493975903615</v>
      </c>
      <c r="F71" s="16">
        <f>IF(ISNUMBER(D71), $B91 * E71, "")</f>
        <v>46310.240963855424</v>
      </c>
      <c r="G71" s="29">
        <v>813</v>
      </c>
      <c r="H71" s="14">
        <f>IF(ISNUMBER(G71), (G71 - $B71) / $B71, "")</f>
        <v>0.22439759036144577</v>
      </c>
      <c r="I71" s="96">
        <f>IF(ISNUMBER(G71), $B91 * H71, "")</f>
        <v>33659.638554216865</v>
      </c>
      <c r="J71" s="13">
        <v>793</v>
      </c>
      <c r="K71" s="14">
        <f>IF(ISNUMBER(J71), (J71 - $B71) / $B71, "")</f>
        <v>0.19427710843373494</v>
      </c>
      <c r="L71" s="16">
        <f>IF(ISNUMBER(J71), $B91 * K71, "")</f>
        <v>29141.566265060243</v>
      </c>
      <c r="M71" s="29">
        <v>788</v>
      </c>
      <c r="N71" s="14">
        <f>IF(ISNUMBER(M71), (M71 - $B71) / $B71, "")</f>
        <v>0.18674698795180722</v>
      </c>
      <c r="O71" s="16">
        <f>IF(ISNUMBER(M71), $B91 * N71, "")</f>
        <v>28012.048192771083</v>
      </c>
      <c r="Q71" s="270"/>
      <c r="R71" s="270"/>
      <c r="S71" s="270"/>
    </row>
    <row r="72" spans="1:19" ht="17.25" thickBot="1">
      <c r="A72" s="124" t="s">
        <v>266</v>
      </c>
      <c r="B72" s="125">
        <v>104</v>
      </c>
      <c r="C72" s="73">
        <v>5.6910569100000002E-2</v>
      </c>
      <c r="D72" s="15">
        <v>101</v>
      </c>
      <c r="E72" s="32">
        <f t="shared" ref="E72:E75" si="30">IF(ISNUMBER(D72), (D72 - $B72) / $B72, "")</f>
        <v>-2.8846153846153848E-2</v>
      </c>
      <c r="F72" s="18">
        <f>IF(ISNUMBER(D72), $B91 * E72, "")</f>
        <v>-4326.9230769230771</v>
      </c>
      <c r="G72" s="31">
        <v>102</v>
      </c>
      <c r="H72" s="32">
        <f t="shared" ref="H72:H75" si="31">IF(ISNUMBER(G72), (G72 - $B72) / $B72, "")</f>
        <v>-1.9230769230769232E-2</v>
      </c>
      <c r="I72" s="97">
        <f>IF(ISNUMBER(G72), $B91 * H72, "")</f>
        <v>-2884.6153846153848</v>
      </c>
      <c r="J72" s="15">
        <v>102</v>
      </c>
      <c r="K72" s="32">
        <f t="shared" ref="K72:K75" si="32">IF(ISNUMBER(J72), (J72 - $B72) / $B72, "")</f>
        <v>-1.9230769230769232E-2</v>
      </c>
      <c r="L72" s="18">
        <f>IF(ISNUMBER(J72), $B91 * K72, "")</f>
        <v>-2884.6153846153848</v>
      </c>
      <c r="M72" s="31">
        <v>103</v>
      </c>
      <c r="N72" s="32">
        <f t="shared" ref="N72:N75" si="33">IF(ISNUMBER(M72), (M72 - $B72) / $B72, "")</f>
        <v>-9.6153846153846159E-3</v>
      </c>
      <c r="O72" s="18">
        <f>IF(ISNUMBER(M72), $B91 * N72, "")</f>
        <v>-1442.3076923076924</v>
      </c>
      <c r="Q72" s="270"/>
      <c r="R72" s="270"/>
      <c r="S72" s="270"/>
    </row>
    <row r="73" spans="1:19" ht="17.25" thickBot="1">
      <c r="A73" s="124" t="s">
        <v>136</v>
      </c>
      <c r="B73" s="125">
        <v>254</v>
      </c>
      <c r="C73" s="73">
        <v>-1.93050193E-2</v>
      </c>
      <c r="D73" s="15">
        <v>251</v>
      </c>
      <c r="E73" s="32">
        <f t="shared" si="30"/>
        <v>-1.1811023622047244E-2</v>
      </c>
      <c r="F73" s="18">
        <f>IF(ISNUMBER(D73), $B91 * E73, "")</f>
        <v>-1771.6535433070867</v>
      </c>
      <c r="G73" s="31">
        <v>255</v>
      </c>
      <c r="H73" s="32">
        <f t="shared" si="31"/>
        <v>3.937007874015748E-3</v>
      </c>
      <c r="I73" s="97">
        <f>IF(ISNUMBER(G73), $B91 * H73, "")</f>
        <v>590.55118110236219</v>
      </c>
      <c r="J73" s="15">
        <v>253</v>
      </c>
      <c r="K73" s="32">
        <f t="shared" si="32"/>
        <v>-3.937007874015748E-3</v>
      </c>
      <c r="L73" s="18">
        <f>IF(ISNUMBER(J73), $B91 * K73, "")</f>
        <v>-590.55118110236219</v>
      </c>
      <c r="M73" s="31">
        <v>255</v>
      </c>
      <c r="N73" s="32">
        <f t="shared" si="33"/>
        <v>3.937007874015748E-3</v>
      </c>
      <c r="O73" s="18">
        <f>IF(ISNUMBER(M73), $B91 * N73, "")</f>
        <v>590.55118110236219</v>
      </c>
      <c r="Q73" s="275"/>
      <c r="R73" s="275"/>
      <c r="S73" s="275"/>
    </row>
    <row r="74" spans="1:19" ht="17.25" thickBot="1">
      <c r="A74" s="124" t="s">
        <v>88</v>
      </c>
      <c r="B74" s="125">
        <v>630</v>
      </c>
      <c r="C74" s="73">
        <v>-2.1739130400000001E-2</v>
      </c>
      <c r="D74" s="15">
        <v>621</v>
      </c>
      <c r="E74" s="32">
        <f t="shared" si="30"/>
        <v>-1.4285714285714285E-2</v>
      </c>
      <c r="F74" s="18">
        <f>IF(ISNUMBER(D74), $B91 * E74, "")</f>
        <v>-2142.8571428571427</v>
      </c>
      <c r="G74" s="31">
        <v>628</v>
      </c>
      <c r="H74" s="32">
        <f t="shared" si="31"/>
        <v>-3.1746031746031746E-3</v>
      </c>
      <c r="I74" s="97">
        <f>IF(ISNUMBER(G74), $B91 * H74, "")</f>
        <v>-476.1904761904762</v>
      </c>
      <c r="J74" s="15">
        <v>630</v>
      </c>
      <c r="K74" s="32">
        <f t="shared" si="32"/>
        <v>0</v>
      </c>
      <c r="L74" s="18">
        <f>IF(ISNUMBER(J74), $B91 * K74, "")</f>
        <v>0</v>
      </c>
      <c r="M74" s="31">
        <v>625</v>
      </c>
      <c r="N74" s="32">
        <f t="shared" si="33"/>
        <v>-7.9365079365079361E-3</v>
      </c>
      <c r="O74" s="18">
        <f>IF(ISNUMBER(M74), $B91 * N74, "")</f>
        <v>-1190.4761904761904</v>
      </c>
      <c r="Q74" s="275"/>
      <c r="R74" s="275"/>
      <c r="S74" s="275"/>
    </row>
    <row r="75" spans="1:19" ht="17.25" thickBot="1">
      <c r="A75" s="126" t="s">
        <v>116</v>
      </c>
      <c r="B75" s="127">
        <v>780</v>
      </c>
      <c r="C75" s="74">
        <v>-2.9850746300000001E-2</v>
      </c>
      <c r="D75" s="20">
        <v>739</v>
      </c>
      <c r="E75" s="21">
        <f t="shared" si="30"/>
        <v>-5.2564102564102565E-2</v>
      </c>
      <c r="F75" s="22">
        <f>IF(ISNUMBER(D75), $B91 * E75, "")</f>
        <v>-7884.6153846153848</v>
      </c>
      <c r="G75" s="30">
        <v>755</v>
      </c>
      <c r="H75" s="21">
        <f t="shared" si="31"/>
        <v>-3.2051282051282048E-2</v>
      </c>
      <c r="I75" s="101">
        <f>IF(ISNUMBER(G75), $B91 * H75, "")</f>
        <v>-4807.6923076923076</v>
      </c>
      <c r="J75" s="20">
        <v>727</v>
      </c>
      <c r="K75" s="21">
        <f t="shared" si="32"/>
        <v>-6.7948717948717943E-2</v>
      </c>
      <c r="L75" s="22">
        <f>IF(ISNUMBER(J75), $B91 * K75, "")</f>
        <v>-10192.307692307691</v>
      </c>
      <c r="M75" s="30">
        <v>731</v>
      </c>
      <c r="N75" s="21">
        <f t="shared" si="33"/>
        <v>-6.2820512820512819E-2</v>
      </c>
      <c r="O75" s="22">
        <f>IF(ISNUMBER(M75), $B91 * N75, "")</f>
        <v>-9423.0769230769238</v>
      </c>
      <c r="Q75" s="275"/>
      <c r="R75" s="275"/>
      <c r="S75" s="275"/>
    </row>
    <row r="76" spans="1:19" ht="17.25" thickBot="1">
      <c r="A76" s="124" t="s">
        <v>51</v>
      </c>
      <c r="B76" s="128">
        <v>652</v>
      </c>
      <c r="C76" s="76">
        <v>-3.5502958600000002E-2</v>
      </c>
      <c r="D76" s="102">
        <v>658</v>
      </c>
      <c r="E76" s="103">
        <f>IF(ISNUMBER(D76), (D76 - $B76) / $B76, "")</f>
        <v>9.202453987730062E-3</v>
      </c>
      <c r="F76" s="104">
        <f>IF(ISNUMBER(D76), $B91 * E76, "")</f>
        <v>1380.3680981595094</v>
      </c>
      <c r="G76" s="105">
        <v>663</v>
      </c>
      <c r="H76" s="103">
        <f>IF(ISNUMBER(G76), (G76 - $B76) / $B76, "")</f>
        <v>1.6871165644171779E-2</v>
      </c>
      <c r="I76" s="106">
        <f>IF(ISNUMBER(G76), $B91 * H76, "")</f>
        <v>2530.6748466257668</v>
      </c>
      <c r="J76" s="102">
        <v>679</v>
      </c>
      <c r="K76" s="103">
        <f>IF(ISNUMBER(J76), (J76 - $B76) / $B76, "")</f>
        <v>4.1411042944785273E-2</v>
      </c>
      <c r="L76" s="104">
        <f>IF(ISNUMBER(J76), $B91 * K76, "")</f>
        <v>6211.6564417177906</v>
      </c>
      <c r="M76" s="105">
        <v>699</v>
      </c>
      <c r="N76" s="103">
        <f>IF(ISNUMBER(M76), (M76 - $B76) / $B76, "")</f>
        <v>7.2085889570552147E-2</v>
      </c>
      <c r="O76" s="104">
        <f>IF(ISNUMBER(M76), $B91 * N76, "")</f>
        <v>10812.883435582822</v>
      </c>
      <c r="Q76" s="275"/>
      <c r="R76" s="275"/>
      <c r="S76" s="275"/>
    </row>
    <row r="77" spans="1:19" ht="17.25" thickBot="1">
      <c r="A77" s="124" t="s">
        <v>156</v>
      </c>
      <c r="B77" s="125">
        <v>156</v>
      </c>
      <c r="C77" s="73">
        <v>-3.7037037000000002E-2</v>
      </c>
      <c r="D77" s="15">
        <v>155</v>
      </c>
      <c r="E77" s="32">
        <f t="shared" ref="E77:E80" si="34">IF(ISNUMBER(D77), (D77 - $B77) / $B77, "")</f>
        <v>-6.41025641025641E-3</v>
      </c>
      <c r="F77" s="18">
        <f>IF(ISNUMBER(D77), $B91 * E77, "")</f>
        <v>-961.53846153846155</v>
      </c>
      <c r="G77" s="31">
        <v>162</v>
      </c>
      <c r="H77" s="32">
        <f t="shared" ref="H77:H80" si="35">IF(ISNUMBER(G77), (G77 - $B77) / $B77, "")</f>
        <v>3.8461538461538464E-2</v>
      </c>
      <c r="I77" s="97">
        <f>IF(ISNUMBER(G77), $B91 * H77, "")</f>
        <v>5769.2307692307695</v>
      </c>
      <c r="J77" s="15">
        <v>160</v>
      </c>
      <c r="K77" s="32">
        <f t="shared" ref="K77:K80" si="36">IF(ISNUMBER(J77), (J77 - $B77) / $B77, "")</f>
        <v>2.564102564102564E-2</v>
      </c>
      <c r="L77" s="18">
        <f>IF(ISNUMBER(J77), $B91 * K77, "")</f>
        <v>3846.1538461538462</v>
      </c>
      <c r="M77" s="31">
        <v>161</v>
      </c>
      <c r="N77" s="32">
        <f t="shared" ref="N77:N80" si="37">IF(ISNUMBER(M77), (M77 - $B77) / $B77, "")</f>
        <v>3.2051282051282048E-2</v>
      </c>
      <c r="O77" s="18">
        <f>IF(ISNUMBER(M77), $B91 * N77, "")</f>
        <v>4807.6923076923076</v>
      </c>
      <c r="Q77" s="275"/>
      <c r="R77" s="275"/>
      <c r="S77" s="275"/>
    </row>
    <row r="78" spans="1:19" ht="17.25" thickBot="1">
      <c r="A78" s="124" t="s">
        <v>278</v>
      </c>
      <c r="B78" s="125">
        <v>155</v>
      </c>
      <c r="C78" s="73">
        <v>-4.3209876500000001E-2</v>
      </c>
      <c r="D78" s="15">
        <v>153</v>
      </c>
      <c r="E78" s="32">
        <f t="shared" si="34"/>
        <v>-1.2903225806451613E-2</v>
      </c>
      <c r="F78" s="18">
        <f>IF(ISNUMBER(D78), $B91 * E78, "")</f>
        <v>-1935.483870967742</v>
      </c>
      <c r="G78" s="31">
        <v>157</v>
      </c>
      <c r="H78" s="32">
        <f t="shared" si="35"/>
        <v>1.2903225806451613E-2</v>
      </c>
      <c r="I78" s="97">
        <f>IF(ISNUMBER(G78), $B91 * H78, "")</f>
        <v>1935.483870967742</v>
      </c>
      <c r="J78" s="15">
        <v>156</v>
      </c>
      <c r="K78" s="32">
        <f t="shared" si="36"/>
        <v>6.4516129032258064E-3</v>
      </c>
      <c r="L78" s="18">
        <f>IF(ISNUMBER(J78), $B91 * K78, "")</f>
        <v>967.74193548387098</v>
      </c>
      <c r="M78" s="31">
        <v>156</v>
      </c>
      <c r="N78" s="32">
        <f t="shared" si="37"/>
        <v>6.4516129032258064E-3</v>
      </c>
      <c r="O78" s="18">
        <f>IF(ISNUMBER(M78), $B91 * N78, "")</f>
        <v>967.74193548387098</v>
      </c>
      <c r="Q78" s="275"/>
      <c r="R78" s="275"/>
      <c r="S78" s="275"/>
    </row>
    <row r="79" spans="1:19" ht="17.25" thickBot="1">
      <c r="A79" s="124" t="s">
        <v>128</v>
      </c>
      <c r="B79" s="125">
        <v>677</v>
      </c>
      <c r="C79" s="73">
        <v>-5.18207283E-2</v>
      </c>
      <c r="D79" s="15">
        <v>674</v>
      </c>
      <c r="E79" s="32">
        <f t="shared" si="34"/>
        <v>-4.4313146233382573E-3</v>
      </c>
      <c r="F79" s="18">
        <f>IF(ISNUMBER(D79), $B91 * E79, "")</f>
        <v>-664.69719350073865</v>
      </c>
      <c r="G79" s="31">
        <v>682</v>
      </c>
      <c r="H79" s="32">
        <f t="shared" si="35"/>
        <v>7.385524372230428E-3</v>
      </c>
      <c r="I79" s="97">
        <f>IF(ISNUMBER(G79), $B91 * H79, "")</f>
        <v>1107.8286558345642</v>
      </c>
      <c r="J79" s="15">
        <v>681</v>
      </c>
      <c r="K79" s="32">
        <f t="shared" si="36"/>
        <v>5.9084194977843431E-3</v>
      </c>
      <c r="L79" s="18">
        <f>IF(ISNUMBER(J79), $B91 * K79, "")</f>
        <v>886.26292466765142</v>
      </c>
      <c r="M79" s="31">
        <v>680</v>
      </c>
      <c r="N79" s="32">
        <f t="shared" si="37"/>
        <v>4.4313146233382573E-3</v>
      </c>
      <c r="O79" s="18">
        <f>IF(ISNUMBER(M79), $B91 * N79, "")</f>
        <v>664.69719350073865</v>
      </c>
      <c r="Q79" s="33"/>
      <c r="R79" s="33"/>
    </row>
    <row r="80" spans="1:19" ht="17.25" thickBot="1">
      <c r="A80" s="129" t="s">
        <v>268</v>
      </c>
      <c r="B80" s="130">
        <v>105</v>
      </c>
      <c r="C80" s="75">
        <v>-5.4054054099999999E-2</v>
      </c>
      <c r="D80" s="24">
        <v>99.2</v>
      </c>
      <c r="E80" s="25">
        <f t="shared" si="34"/>
        <v>-5.5238095238095211E-2</v>
      </c>
      <c r="F80" s="100">
        <f>IF(ISNUMBER(D80), $B91 * E80, "")</f>
        <v>-8285.7142857142808</v>
      </c>
      <c r="G80" s="98">
        <v>99.5</v>
      </c>
      <c r="H80" s="25">
        <f t="shared" si="35"/>
        <v>-5.2380952380952382E-2</v>
      </c>
      <c r="I80" s="99">
        <f>IF(ISNUMBER(G80), $B91 * H80, "")</f>
        <v>-7857.1428571428569</v>
      </c>
      <c r="J80" s="24">
        <v>97.9</v>
      </c>
      <c r="K80" s="25">
        <f t="shared" si="36"/>
        <v>-6.7619047619047565E-2</v>
      </c>
      <c r="L80" s="100">
        <f>IF(ISNUMBER(J80), $B91 * K80, "")</f>
        <v>-10142.857142857134</v>
      </c>
      <c r="M80" s="98">
        <v>99.8</v>
      </c>
      <c r="N80" s="25">
        <f t="shared" si="37"/>
        <v>-4.9523809523809553E-2</v>
      </c>
      <c r="O80" s="100">
        <f>IF(ISNUMBER(M80), $B91 * N80, "")</f>
        <v>-7428.571428571433</v>
      </c>
      <c r="Q80" s="284"/>
      <c r="R80" s="285"/>
      <c r="S80" s="286"/>
    </row>
    <row r="81" spans="1:19">
      <c r="A81" s="122" t="s">
        <v>148</v>
      </c>
      <c r="B81" s="123">
        <v>198</v>
      </c>
      <c r="C81" s="72">
        <v>-5.71428571E-2</v>
      </c>
      <c r="D81" s="13">
        <v>197</v>
      </c>
      <c r="E81" s="14">
        <f>IF(ISNUMBER(D81), (D81 - $B81) / $B81, "")</f>
        <v>-5.0505050505050509E-3</v>
      </c>
      <c r="F81" s="16">
        <f>IF(ISNUMBER(D81), $B91 * E81, "")</f>
        <v>-757.57575757575762</v>
      </c>
      <c r="G81" s="29">
        <v>197</v>
      </c>
      <c r="H81" s="14">
        <f>IF(ISNUMBER(G81), (G81 - $B81) / $B81, "")</f>
        <v>-5.0505050505050509E-3</v>
      </c>
      <c r="I81" s="96">
        <f>IF(ISNUMBER(G81), $B91 * H81, "")</f>
        <v>-757.57575757575762</v>
      </c>
      <c r="J81" s="13">
        <v>196</v>
      </c>
      <c r="K81" s="14">
        <f>IF(ISNUMBER(J81), (J81 - $B81) / $B81, "")</f>
        <v>-1.0101010101010102E-2</v>
      </c>
      <c r="L81" s="16">
        <f>IF(ISNUMBER(J81), $B91 * K81, "")</f>
        <v>-1515.1515151515152</v>
      </c>
      <c r="M81" s="29">
        <v>198</v>
      </c>
      <c r="N81" s="14">
        <f>IF(ISNUMBER(M81), (M81 - $B81) / $B81, "")</f>
        <v>0</v>
      </c>
      <c r="O81" s="16">
        <f>IF(ISNUMBER(M81), $B91 * N81, "")</f>
        <v>0</v>
      </c>
      <c r="Q81" s="287"/>
      <c r="R81" s="288"/>
      <c r="S81" s="289"/>
    </row>
    <row r="82" spans="1:19" ht="17.25" thickBot="1">
      <c r="A82" s="124" t="s">
        <v>57</v>
      </c>
      <c r="B82" s="125">
        <v>399</v>
      </c>
      <c r="C82" s="73">
        <v>-5.8962264200000003E-2</v>
      </c>
      <c r="D82" s="15">
        <v>396</v>
      </c>
      <c r="E82" s="32">
        <f t="shared" ref="E82:E85" si="38">IF(ISNUMBER(D82), (D82 - $B82) / $B82, "")</f>
        <v>-7.5187969924812026E-3</v>
      </c>
      <c r="F82" s="18">
        <f>IF(ISNUMBER(D82), $B91 * E82, "")</f>
        <v>-1127.8195488721803</v>
      </c>
      <c r="G82" s="31">
        <v>399</v>
      </c>
      <c r="H82" s="32">
        <f t="shared" ref="H82:H85" si="39">IF(ISNUMBER(G82), (G82 - $B82) / $B82, "")</f>
        <v>0</v>
      </c>
      <c r="I82" s="97">
        <f>IF(ISNUMBER(G82), $B91 * H82, "")</f>
        <v>0</v>
      </c>
      <c r="J82" s="15">
        <v>401</v>
      </c>
      <c r="K82" s="32">
        <f t="shared" ref="K82:K85" si="40">IF(ISNUMBER(J82), (J82 - $B82) / $B82, "")</f>
        <v>5.0125313283208017E-3</v>
      </c>
      <c r="L82" s="18">
        <f>IF(ISNUMBER(J82), $B91 * K82, "")</f>
        <v>751.87969924812023</v>
      </c>
      <c r="M82" s="31">
        <v>406</v>
      </c>
      <c r="N82" s="32">
        <f t="shared" ref="N82:N85" si="41">IF(ISNUMBER(M82), (M82 - $B82) / $B82, "")</f>
        <v>1.7543859649122806E-2</v>
      </c>
      <c r="O82" s="18">
        <f>IF(ISNUMBER(M82), $B91 * N82, "")</f>
        <v>2631.5789473684208</v>
      </c>
      <c r="Q82" s="290"/>
      <c r="R82" s="291"/>
      <c r="S82" s="292"/>
    </row>
    <row r="83" spans="1:19" ht="17.25" thickBot="1">
      <c r="A83" s="124" t="s">
        <v>120</v>
      </c>
      <c r="B83" s="125">
        <v>216</v>
      </c>
      <c r="C83" s="73">
        <v>-6.4935064900000006E-2</v>
      </c>
      <c r="D83" s="15">
        <v>209</v>
      </c>
      <c r="E83" s="32">
        <f t="shared" si="38"/>
        <v>-3.2407407407407406E-2</v>
      </c>
      <c r="F83" s="18">
        <f>IF(ISNUMBER(D83), $B91 * E83, "")</f>
        <v>-4861.1111111111104</v>
      </c>
      <c r="G83" s="31">
        <v>213</v>
      </c>
      <c r="H83" s="32">
        <f t="shared" si="39"/>
        <v>-1.3888888888888888E-2</v>
      </c>
      <c r="I83" s="97">
        <f>IF(ISNUMBER(G83), $B91 * H83, "")</f>
        <v>-2083.333333333333</v>
      </c>
      <c r="J83" s="15">
        <v>212</v>
      </c>
      <c r="K83" s="32">
        <f t="shared" si="40"/>
        <v>-1.8518518518518517E-2</v>
      </c>
      <c r="L83" s="18">
        <f>IF(ISNUMBER(J83), $B91 * K83, "")</f>
        <v>-2777.7777777777778</v>
      </c>
      <c r="M83" s="31">
        <v>215</v>
      </c>
      <c r="N83" s="32">
        <f t="shared" si="41"/>
        <v>-4.6296296296296294E-3</v>
      </c>
      <c r="O83" s="18">
        <f>IF(ISNUMBER(M83), $B91 * N83, "")</f>
        <v>-694.44444444444446</v>
      </c>
      <c r="Q83" s="275"/>
      <c r="R83" s="275"/>
      <c r="S83" s="275"/>
    </row>
    <row r="84" spans="1:19" ht="17.25" thickBot="1">
      <c r="A84" s="124" t="s">
        <v>282</v>
      </c>
      <c r="B84" s="125">
        <v>172</v>
      </c>
      <c r="C84" s="73">
        <v>-6.5217391299999997E-2</v>
      </c>
      <c r="D84" s="15">
        <v>162</v>
      </c>
      <c r="E84" s="32">
        <f t="shared" si="38"/>
        <v>-5.8139534883720929E-2</v>
      </c>
      <c r="F84" s="18">
        <f>IF(ISNUMBER(D84), $B91 * E84, "")</f>
        <v>-8720.9302325581393</v>
      </c>
      <c r="G84" s="31">
        <v>163</v>
      </c>
      <c r="H84" s="32">
        <f t="shared" si="39"/>
        <v>-5.232558139534884E-2</v>
      </c>
      <c r="I84" s="97">
        <f>IF(ISNUMBER(G84), $B91 * H84, "")</f>
        <v>-7848.8372093023263</v>
      </c>
      <c r="J84" s="15">
        <v>160</v>
      </c>
      <c r="K84" s="32">
        <f t="shared" si="40"/>
        <v>-6.9767441860465115E-2</v>
      </c>
      <c r="L84" s="18">
        <f>IF(ISNUMBER(J84), $B91 * K84, "")</f>
        <v>-10465.116279069767</v>
      </c>
      <c r="M84" s="31">
        <v>163</v>
      </c>
      <c r="N84" s="32">
        <f t="shared" si="41"/>
        <v>-5.232558139534884E-2</v>
      </c>
      <c r="O84" s="18">
        <f>IF(ISNUMBER(M84), $B91 * N84, "")</f>
        <v>-7848.8372093023263</v>
      </c>
      <c r="Q84" s="270"/>
      <c r="R84" s="270"/>
      <c r="S84" s="270"/>
    </row>
    <row r="85" spans="1:19" ht="17.25" thickBot="1">
      <c r="A85" s="126" t="s">
        <v>132</v>
      </c>
      <c r="B85" s="127">
        <v>240</v>
      </c>
      <c r="C85" s="74">
        <v>-6.9767441900000005E-2</v>
      </c>
      <c r="D85" s="20">
        <v>238</v>
      </c>
      <c r="E85" s="21">
        <f t="shared" si="38"/>
        <v>-8.3333333333333332E-3</v>
      </c>
      <c r="F85" s="22">
        <f>IF(ISNUMBER(D85), $B91 * E85, "")</f>
        <v>-1250</v>
      </c>
      <c r="G85" s="30">
        <v>244</v>
      </c>
      <c r="H85" s="21">
        <f t="shared" si="39"/>
        <v>1.6666666666666666E-2</v>
      </c>
      <c r="I85" s="101">
        <f>IF(ISNUMBER(G85), $B91 * H85, "")</f>
        <v>2500</v>
      </c>
      <c r="J85" s="20">
        <v>246</v>
      </c>
      <c r="K85" s="21">
        <f t="shared" si="40"/>
        <v>2.5000000000000001E-2</v>
      </c>
      <c r="L85" s="22">
        <f>IF(ISNUMBER(J85), $B91 * K85, "")</f>
        <v>3750</v>
      </c>
      <c r="M85" s="30">
        <v>244</v>
      </c>
      <c r="N85" s="21">
        <f t="shared" si="41"/>
        <v>1.6666666666666666E-2</v>
      </c>
      <c r="O85" s="22">
        <f>IF(ISNUMBER(M85), $B91 * N85, "")</f>
        <v>2500</v>
      </c>
      <c r="Q85" s="270"/>
      <c r="R85" s="270"/>
      <c r="S85" s="270"/>
    </row>
    <row r="86" spans="1:19" ht="17.25" thickBot="1">
      <c r="A86" s="124" t="s">
        <v>200</v>
      </c>
      <c r="B86" s="128">
        <v>386</v>
      </c>
      <c r="C86" s="76">
        <v>-7.2115384599999999E-2</v>
      </c>
      <c r="D86" s="102">
        <v>370</v>
      </c>
      <c r="E86" s="103">
        <f>IF(ISNUMBER(D86), (D86 - $B86) / $B86, "")</f>
        <v>-4.145077720207254E-2</v>
      </c>
      <c r="F86" s="104">
        <f>IF(ISNUMBER(D86), $B91 * E86, "")</f>
        <v>-6217.6165803108806</v>
      </c>
      <c r="G86" s="105">
        <v>377</v>
      </c>
      <c r="H86" s="103">
        <f>IF(ISNUMBER(G86), (G86 - $B86) / $B86, "")</f>
        <v>-2.3316062176165803E-2</v>
      </c>
      <c r="I86" s="106">
        <f>IF(ISNUMBER(G86), $B91 * H86, "")</f>
        <v>-3497.4093264248704</v>
      </c>
      <c r="J86" s="102">
        <v>368</v>
      </c>
      <c r="K86" s="103">
        <f>IF(ISNUMBER(J86), (J86 - $B86) / $B86, "")</f>
        <v>-4.6632124352331605E-2</v>
      </c>
      <c r="L86" s="104">
        <f>IF(ISNUMBER(J86), $B91 * K86, "")</f>
        <v>-6994.8186528497408</v>
      </c>
      <c r="M86" s="105">
        <v>371</v>
      </c>
      <c r="N86" s="103">
        <f>IF(ISNUMBER(M86), (M86 - $B86) / $B86, "")</f>
        <v>-3.8860103626943004E-2</v>
      </c>
      <c r="O86" s="104">
        <f>IF(ISNUMBER(M86), $B91 * N86, "")</f>
        <v>-5829.015544041451</v>
      </c>
      <c r="Q86" s="275"/>
      <c r="R86" s="275"/>
      <c r="S86" s="275"/>
    </row>
    <row r="87" spans="1:19" ht="17.25" thickBot="1">
      <c r="A87" s="124" t="s">
        <v>134</v>
      </c>
      <c r="B87" s="125">
        <v>153</v>
      </c>
      <c r="C87" s="73">
        <v>-7.2727272699999998E-2</v>
      </c>
      <c r="D87" s="15">
        <v>145</v>
      </c>
      <c r="E87" s="32">
        <f t="shared" ref="E87:E90" si="42">IF(ISNUMBER(D87), (D87 - $B87) / $B87, "")</f>
        <v>-5.2287581699346407E-2</v>
      </c>
      <c r="F87" s="18">
        <f>IF(ISNUMBER(D87), $B91 * E87, "")</f>
        <v>-7843.1372549019607</v>
      </c>
      <c r="G87" s="31">
        <v>147</v>
      </c>
      <c r="H87" s="32">
        <f t="shared" ref="H87:H90" si="43">IF(ISNUMBER(G87), (G87 - $B87) / $B87, "")</f>
        <v>-3.9215686274509803E-2</v>
      </c>
      <c r="I87" s="97">
        <f>IF(ISNUMBER(G87), $B91 * H87, "")</f>
        <v>-5882.3529411764703</v>
      </c>
      <c r="J87" s="15">
        <v>147</v>
      </c>
      <c r="K87" s="32">
        <f t="shared" ref="K87:K90" si="44">IF(ISNUMBER(J87), (J87 - $B87) / $B87, "")</f>
        <v>-3.9215686274509803E-2</v>
      </c>
      <c r="L87" s="18">
        <f>IF(ISNUMBER(J87), $B91 * K87, "")</f>
        <v>-5882.3529411764703</v>
      </c>
      <c r="M87" s="31">
        <v>151</v>
      </c>
      <c r="N87" s="32">
        <f t="shared" ref="N87:N90" si="45">IF(ISNUMBER(M87), (M87 - $B87) / $B87, "")</f>
        <v>-1.3071895424836602E-2</v>
      </c>
      <c r="O87" s="18">
        <f>IF(ISNUMBER(M87), $B91 * N87, "")</f>
        <v>-1960.7843137254902</v>
      </c>
      <c r="Q87" s="275"/>
      <c r="R87" s="275"/>
      <c r="S87" s="275"/>
    </row>
    <row r="88" spans="1:19" ht="17.25" thickBot="1">
      <c r="A88" s="124" t="s">
        <v>252</v>
      </c>
      <c r="B88" s="125">
        <v>560</v>
      </c>
      <c r="C88" s="73">
        <v>-7.2847682100000005E-2</v>
      </c>
      <c r="D88" s="15">
        <v>538</v>
      </c>
      <c r="E88" s="32">
        <f t="shared" si="42"/>
        <v>-3.9285714285714285E-2</v>
      </c>
      <c r="F88" s="18">
        <f>IF(ISNUMBER(D88), $B91 * E88, "")</f>
        <v>-5892.8571428571431</v>
      </c>
      <c r="G88" s="31">
        <v>544</v>
      </c>
      <c r="H88" s="32">
        <f t="shared" si="43"/>
        <v>-2.8571428571428571E-2</v>
      </c>
      <c r="I88" s="97">
        <f>IF(ISNUMBER(G88), $B91 * H88, "")</f>
        <v>-4285.7142857142853</v>
      </c>
      <c r="J88" s="15">
        <v>536</v>
      </c>
      <c r="K88" s="32">
        <f t="shared" si="44"/>
        <v>-4.2857142857142858E-2</v>
      </c>
      <c r="L88" s="18">
        <f>IF(ISNUMBER(J88), $B91 * K88, "")</f>
        <v>-6428.5714285714284</v>
      </c>
      <c r="M88" s="31">
        <v>544</v>
      </c>
      <c r="N88" s="32">
        <f t="shared" si="45"/>
        <v>-2.8571428571428571E-2</v>
      </c>
      <c r="O88" s="18">
        <f>IF(ISNUMBER(M88), $B91 * N88, "")</f>
        <v>-4285.7142857142853</v>
      </c>
      <c r="Q88" s="275"/>
      <c r="R88" s="275"/>
      <c r="S88" s="275"/>
    </row>
    <row r="89" spans="1:19">
      <c r="A89" s="124" t="s">
        <v>238</v>
      </c>
      <c r="B89" s="125">
        <v>309</v>
      </c>
      <c r="C89" s="73">
        <v>-7.48502994E-2</v>
      </c>
      <c r="D89" s="15">
        <v>296</v>
      </c>
      <c r="E89" s="32">
        <f t="shared" si="42"/>
        <v>-4.2071197411003236E-2</v>
      </c>
      <c r="F89" s="18">
        <f>IF(ISNUMBER(D89), $B91 * E89, "")</f>
        <v>-6310.6796116504856</v>
      </c>
      <c r="G89" s="31">
        <v>293</v>
      </c>
      <c r="H89" s="32">
        <f t="shared" si="43"/>
        <v>-5.1779935275080909E-2</v>
      </c>
      <c r="I89" s="97">
        <f>IF(ISNUMBER(G89), $B91 * H89, "")</f>
        <v>-7766.9902912621365</v>
      </c>
      <c r="J89" s="15">
        <v>290</v>
      </c>
      <c r="K89" s="32">
        <f t="shared" si="44"/>
        <v>-6.1488673139158574E-2</v>
      </c>
      <c r="L89" s="18">
        <f>IF(ISNUMBER(J89), $B91 * K89, "")</f>
        <v>-9223.3009708737864</v>
      </c>
      <c r="M89" s="31">
        <v>294</v>
      </c>
      <c r="N89" s="32">
        <f t="shared" si="45"/>
        <v>-4.8543689320388349E-2</v>
      </c>
      <c r="O89" s="18">
        <f>IF(ISNUMBER(M89), $B91 * N89, "")</f>
        <v>-7281.5533980582522</v>
      </c>
      <c r="Q89" s="297"/>
      <c r="R89" s="298"/>
      <c r="S89" s="299"/>
    </row>
    <row r="90" spans="1:19" ht="17.25" thickBot="1">
      <c r="A90" s="129" t="s">
        <v>246</v>
      </c>
      <c r="B90" s="130">
        <v>420</v>
      </c>
      <c r="C90" s="75">
        <v>-7.4889867799999996E-2</v>
      </c>
      <c r="D90" s="24">
        <v>390</v>
      </c>
      <c r="E90" s="25">
        <f t="shared" si="42"/>
        <v>-7.1428571428571425E-2</v>
      </c>
      <c r="F90" s="100">
        <f>IF(ISNUMBER(D90), $B91 * E90, "")</f>
        <v>-10714.285714285714</v>
      </c>
      <c r="G90" s="98">
        <v>399</v>
      </c>
      <c r="H90" s="25">
        <f t="shared" si="43"/>
        <v>-0.05</v>
      </c>
      <c r="I90" s="99">
        <f>IF(ISNUMBER(G90), $B91 * H90, "")</f>
        <v>-7500</v>
      </c>
      <c r="J90" s="24">
        <v>392</v>
      </c>
      <c r="K90" s="25">
        <f t="shared" si="44"/>
        <v>-6.6666666666666666E-2</v>
      </c>
      <c r="L90" s="100">
        <f>IF(ISNUMBER(J90), $B91 * K90, "")</f>
        <v>-10000</v>
      </c>
      <c r="M90" s="98">
        <v>401</v>
      </c>
      <c r="N90" s="25">
        <f t="shared" si="45"/>
        <v>-4.5238095238095237E-2</v>
      </c>
      <c r="O90" s="100">
        <f>IF(ISNUMBER(M90), $B91 * N90, "")</f>
        <v>-6785.7142857142853</v>
      </c>
      <c r="Q90" s="300"/>
      <c r="R90" s="301"/>
      <c r="S90" s="302"/>
    </row>
    <row r="91" spans="1:19" ht="17.25" thickBot="1">
      <c r="A91" s="131" t="s">
        <v>301</v>
      </c>
      <c r="B91" s="308">
        <f>$B$37</f>
        <v>150000</v>
      </c>
      <c r="C91" s="309"/>
      <c r="D91" s="26" t="s">
        <v>302</v>
      </c>
      <c r="E91" s="27">
        <f>IF(COUNT(E71:E90), SUM(E71:E90) / COUNT(E71:E90), 0)</f>
        <v>-1.1326295617177452E-2</v>
      </c>
      <c r="F91" s="28">
        <f>SUM(F71:F90)</f>
        <v>-33978.886851532356</v>
      </c>
      <c r="G91" s="26" t="s">
        <v>302</v>
      </c>
      <c r="H91" s="27">
        <f>IF(COUNT(H71:H90), SUM(H71:H90) / COUNT(H71:H90), 0)</f>
        <v>-2.5181487641507132E-3</v>
      </c>
      <c r="I91" s="28">
        <f>SUM(I71:I90)</f>
        <v>-7554.4462924521331</v>
      </c>
      <c r="J91" s="26" t="s">
        <v>302</v>
      </c>
      <c r="K91" s="27">
        <f>IF(COUNT(K71:K90), SUM(K71:K90) / COUNT(K71:K90), 0)</f>
        <v>-1.0514053284673846E-2</v>
      </c>
      <c r="L91" s="28">
        <f>SUM(L71:L90)</f>
        <v>-31542.159854021535</v>
      </c>
      <c r="M91" s="26" t="s">
        <v>302</v>
      </c>
      <c r="N91" s="27">
        <f>IF(COUNT(N71:N90), SUM(N71:N90) / COUNT(N71:N90), 0)</f>
        <v>-1.061100840643723E-3</v>
      </c>
      <c r="O91" s="28">
        <f>SUM(O71:O90)</f>
        <v>-3183.3025219311785</v>
      </c>
      <c r="Q91" s="303"/>
      <c r="R91" s="304"/>
      <c r="S91" s="305"/>
    </row>
    <row r="93" spans="1:19" ht="17.25" thickBot="1"/>
    <row r="94" spans="1:19" ht="17.25" thickBot="1">
      <c r="A94" s="249" t="s">
        <v>46</v>
      </c>
      <c r="B94" s="250"/>
      <c r="C94" s="250"/>
      <c r="D94" s="250"/>
      <c r="E94" s="250"/>
      <c r="F94" s="250"/>
      <c r="G94" s="250"/>
      <c r="H94" s="250"/>
      <c r="I94" s="250"/>
      <c r="J94" s="250"/>
      <c r="K94" s="250"/>
      <c r="L94" s="250"/>
      <c r="M94" s="250"/>
      <c r="N94" s="250"/>
      <c r="O94" s="251"/>
      <c r="Q94" s="270"/>
      <c r="R94" s="270"/>
      <c r="S94" s="270"/>
    </row>
    <row r="95" spans="1:19" ht="17.25" thickBot="1">
      <c r="A95" s="149" t="s">
        <v>298</v>
      </c>
      <c r="B95" s="249" t="s">
        <v>49</v>
      </c>
      <c r="C95" s="251"/>
      <c r="D95" s="249" t="s">
        <v>58</v>
      </c>
      <c r="E95" s="250"/>
      <c r="F95" s="251"/>
      <c r="G95" s="276">
        <f>_xlfn.IFNA(VLOOKUP(B95, 현재가테이블!$B$2:$D$200, 2, FALSE), "-")</f>
        <v>60874000</v>
      </c>
      <c r="H95" s="277"/>
      <c r="I95" s="278"/>
      <c r="J95" s="249" t="s">
        <v>59</v>
      </c>
      <c r="K95" s="250"/>
      <c r="L95" s="251"/>
      <c r="M95" s="279">
        <f>_xlfn.IFNA(VLOOKUP(B95, 현재가테이블!$B$2:$D$200, 3, FALSE), "-")</f>
        <v>-1.4936000099999999E-2</v>
      </c>
      <c r="N95" s="280"/>
      <c r="O95" s="281"/>
      <c r="Q95" s="270"/>
      <c r="R95" s="270"/>
      <c r="S95" s="270"/>
    </row>
    <row r="96" spans="1:19" ht="17.25" thickBot="1">
      <c r="A96" s="310" t="s">
        <v>55</v>
      </c>
      <c r="B96" s="312" t="str">
        <f>TEXT($G$1, "[$-ko-KR]yyyy-mm-dd(ddd) ") &amp; "오전 00:00"</f>
        <v>2021-05-05(수) 오전 00:00</v>
      </c>
      <c r="C96" s="313"/>
      <c r="D96" s="272" t="str">
        <f>TEXT($G$1, "[$-ko-KR]yyyy-mm-dd(ddd) ") &amp; "오후 14:00"</f>
        <v>2021-05-05(수) 오후 14:00</v>
      </c>
      <c r="E96" s="273"/>
      <c r="F96" s="274"/>
      <c r="G96" s="272" t="str">
        <f>TEXT($G$1, "[$-ko-KR]yyyy-mm-dd(ddd) ") &amp; "오후 19:00"</f>
        <v>2021-05-05(수) 오후 19:00</v>
      </c>
      <c r="H96" s="273"/>
      <c r="I96" s="274"/>
      <c r="J96" s="272" t="str">
        <f>TEXT($G$1, "[$-ko-KR]yyyy-mm-dd(ddd) ") &amp; "오후 21:00"</f>
        <v>2021-05-05(수) 오후 21:00</v>
      </c>
      <c r="K96" s="273"/>
      <c r="L96" s="274"/>
      <c r="M96" s="272" t="str">
        <f>TEXT($G$1+1, "[$-ko-KR]yyyy-mm-dd(ddd) ") &amp; "오전 00:00"</f>
        <v>2021-05-06(목) 오전 00:00</v>
      </c>
      <c r="N96" s="273"/>
      <c r="O96" s="274"/>
      <c r="Q96" s="270"/>
      <c r="R96" s="270"/>
      <c r="S96" s="270"/>
    </row>
    <row r="97" spans="1:19" ht="17.25" thickBot="1">
      <c r="A97" s="311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52" t="s">
        <v>58</v>
      </c>
      <c r="H97" s="153" t="s">
        <v>299</v>
      </c>
      <c r="I97" s="15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75"/>
      <c r="R97" s="275"/>
      <c r="S97" s="275"/>
    </row>
    <row r="98" spans="1:19" ht="17.25" thickBot="1">
      <c r="A98" s="122" t="s">
        <v>296</v>
      </c>
      <c r="B98" s="123">
        <v>664</v>
      </c>
      <c r="C98" s="72">
        <v>0.2319109462</v>
      </c>
      <c r="D98" s="13">
        <v>869</v>
      </c>
      <c r="E98" s="14">
        <f>IF(ISNUMBER(D98), (D98 - $B98) / $B98, "")</f>
        <v>0.30873493975903615</v>
      </c>
      <c r="F98" s="16">
        <f>IF(ISNUMBER(D98), $B118 * E98, "")</f>
        <v>46310.240963855424</v>
      </c>
      <c r="G98" s="29">
        <v>813</v>
      </c>
      <c r="H98" s="14">
        <f>IF(ISNUMBER(G98), (G98 - $B98) / $B98, "")</f>
        <v>0.22439759036144577</v>
      </c>
      <c r="I98" s="96">
        <f>IF(ISNUMBER(G98), $B118 * H98, "")</f>
        <v>33659.638554216865</v>
      </c>
      <c r="J98" s="13">
        <v>793</v>
      </c>
      <c r="K98" s="14">
        <f>IF(ISNUMBER(J98), (J98 - $B98) / $B98, "")</f>
        <v>0.19427710843373494</v>
      </c>
      <c r="L98" s="16">
        <f>IF(ISNUMBER(J98), $B118 * K98, "")</f>
        <v>29141.566265060243</v>
      </c>
      <c r="M98" s="29">
        <v>788</v>
      </c>
      <c r="N98" s="14">
        <f>IF(ISNUMBER(M98), (M98 - $B98) / $B98, "")</f>
        <v>0.18674698795180722</v>
      </c>
      <c r="O98" s="16">
        <f>IF(ISNUMBER(M98), $B118 * N98, "")</f>
        <v>28012.048192771083</v>
      </c>
      <c r="Q98" s="270"/>
      <c r="R98" s="270"/>
      <c r="S98" s="270"/>
    </row>
    <row r="99" spans="1:19" ht="17.25" thickBot="1">
      <c r="A99" s="124" t="s">
        <v>102</v>
      </c>
      <c r="B99" s="125">
        <v>75100</v>
      </c>
      <c r="C99" s="73">
        <v>0.1789638932</v>
      </c>
      <c r="D99" s="15">
        <v>94550</v>
      </c>
      <c r="E99" s="32">
        <f t="shared" ref="E99:E102" si="46">IF(ISNUMBER(D99), (D99 - $B99) / $B99, "")</f>
        <v>0.25898801597869509</v>
      </c>
      <c r="F99" s="18">
        <f>IF(ISNUMBER(D99), $B118 * E99, "")</f>
        <v>38848.202396804263</v>
      </c>
      <c r="G99" s="31">
        <v>94090</v>
      </c>
      <c r="H99" s="32">
        <f t="shared" ref="H99:H102" si="47">IF(ISNUMBER(G99), (G99 - $B99) / $B99, "")</f>
        <v>0.25286284953395471</v>
      </c>
      <c r="I99" s="97">
        <f>IF(ISNUMBER(G99), $B118 * H99, "")</f>
        <v>37929.427430093208</v>
      </c>
      <c r="J99" s="15">
        <v>89100</v>
      </c>
      <c r="K99" s="32">
        <f t="shared" ref="K99:K102" si="48">IF(ISNUMBER(J99), (J99 - $B99) / $B99, "")</f>
        <v>0.18641810918774968</v>
      </c>
      <c r="L99" s="18">
        <f>IF(ISNUMBER(J99), $B118 * K99, "")</f>
        <v>27962.716378162451</v>
      </c>
      <c r="M99" s="31">
        <v>93120</v>
      </c>
      <c r="N99" s="32">
        <f t="shared" ref="N99:N102" si="49">IF(ISNUMBER(M99), (M99 - $B99) / $B99, "")</f>
        <v>0.23994673768308922</v>
      </c>
      <c r="O99" s="18">
        <f>IF(ISNUMBER(M99), $B118 * N99, "")</f>
        <v>35992.010652463381</v>
      </c>
      <c r="Q99" s="270"/>
      <c r="R99" s="270"/>
      <c r="S99" s="270"/>
    </row>
    <row r="100" spans="1:19" ht="17.25" thickBot="1">
      <c r="A100" s="124" t="s">
        <v>164</v>
      </c>
      <c r="B100" s="125">
        <v>44090</v>
      </c>
      <c r="C100" s="73">
        <v>9.0796635299999998E-2</v>
      </c>
      <c r="D100" s="15">
        <v>44880</v>
      </c>
      <c r="E100" s="32">
        <f t="shared" si="46"/>
        <v>1.7917895214334317E-2</v>
      </c>
      <c r="F100" s="18">
        <f>IF(ISNUMBER(D100), $B118 * E100, "")</f>
        <v>2687.6842821501477</v>
      </c>
      <c r="G100" s="31">
        <v>44330</v>
      </c>
      <c r="H100" s="32">
        <f t="shared" si="47"/>
        <v>5.4434112043547289E-3</v>
      </c>
      <c r="I100" s="97">
        <f>IF(ISNUMBER(G100), $B118 * H100, "")</f>
        <v>816.51168065320928</v>
      </c>
      <c r="J100" s="15">
        <v>41950</v>
      </c>
      <c r="K100" s="32">
        <f t="shared" si="48"/>
        <v>-4.8537083238829666E-2</v>
      </c>
      <c r="L100" s="18">
        <f>IF(ISNUMBER(J100), $B118 * K100, "")</f>
        <v>-7280.5624858244501</v>
      </c>
      <c r="M100" s="31">
        <v>42510</v>
      </c>
      <c r="N100" s="32">
        <f t="shared" si="49"/>
        <v>-3.5835790428668635E-2</v>
      </c>
      <c r="O100" s="18">
        <f>IF(ISNUMBER(M100), $B118 * N100, "")</f>
        <v>-5375.3685643002955</v>
      </c>
      <c r="Q100" s="275"/>
      <c r="R100" s="275"/>
      <c r="S100" s="275"/>
    </row>
    <row r="101" spans="1:19" ht="17.25" thickBot="1">
      <c r="A101" s="124" t="s">
        <v>94</v>
      </c>
      <c r="B101" s="125">
        <v>127600</v>
      </c>
      <c r="C101" s="73">
        <v>8.3191850600000006E-2</v>
      </c>
      <c r="D101" s="15">
        <v>139600</v>
      </c>
      <c r="E101" s="32">
        <f t="shared" si="46"/>
        <v>9.4043887147335428E-2</v>
      </c>
      <c r="F101" s="18">
        <f>IF(ISNUMBER(D101), $B118 * E101, "")</f>
        <v>14106.583072100315</v>
      </c>
      <c r="G101" s="31">
        <v>133750</v>
      </c>
      <c r="H101" s="32">
        <f t="shared" si="47"/>
        <v>4.8197492163009406E-2</v>
      </c>
      <c r="I101" s="97">
        <f>IF(ISNUMBER(G101), $B118 * H101, "")</f>
        <v>7229.6238244514107</v>
      </c>
      <c r="J101" s="15">
        <v>140550</v>
      </c>
      <c r="K101" s="32">
        <f t="shared" si="48"/>
        <v>0.10148902821316615</v>
      </c>
      <c r="L101" s="18">
        <f>IF(ISNUMBER(J101), $B118 * K101, "")</f>
        <v>15223.354231974921</v>
      </c>
      <c r="M101" s="31">
        <v>143950</v>
      </c>
      <c r="N101" s="32">
        <f t="shared" si="49"/>
        <v>0.1281347962382445</v>
      </c>
      <c r="O101" s="18">
        <f>IF(ISNUMBER(M101), $B118 * N101, "")</f>
        <v>19220.219435736675</v>
      </c>
      <c r="Q101" s="275"/>
      <c r="R101" s="275"/>
      <c r="S101" s="275"/>
    </row>
    <row r="102" spans="1:19" ht="17.25" thickBot="1">
      <c r="A102" s="126" t="s">
        <v>206</v>
      </c>
      <c r="B102" s="127">
        <v>40910</v>
      </c>
      <c r="C102" s="74">
        <v>6.8146214100000005E-2</v>
      </c>
      <c r="D102" s="20">
        <v>39870</v>
      </c>
      <c r="E102" s="21">
        <f t="shared" si="46"/>
        <v>-2.5421657296504523E-2</v>
      </c>
      <c r="F102" s="22">
        <f>IF(ISNUMBER(D102), $B118 * E102, "")</f>
        <v>-3813.2485944756786</v>
      </c>
      <c r="G102" s="30">
        <v>40050</v>
      </c>
      <c r="H102" s="21">
        <f t="shared" si="47"/>
        <v>-2.1021755072109509E-2</v>
      </c>
      <c r="I102" s="101">
        <f>IF(ISNUMBER(G102), $B118 * H102, "")</f>
        <v>-3153.2632608164263</v>
      </c>
      <c r="J102" s="20">
        <v>39190</v>
      </c>
      <c r="K102" s="21">
        <f t="shared" si="48"/>
        <v>-4.2043510144219018E-2</v>
      </c>
      <c r="L102" s="22">
        <f>IF(ISNUMBER(J102), $B118 * K102, "")</f>
        <v>-6306.5265216328526</v>
      </c>
      <c r="M102" s="30">
        <v>39480</v>
      </c>
      <c r="N102" s="21">
        <f t="shared" si="49"/>
        <v>-3.4954778782693721E-2</v>
      </c>
      <c r="O102" s="22">
        <f>IF(ISNUMBER(M102), $B118 * N102, "")</f>
        <v>-5243.216817404058</v>
      </c>
      <c r="Q102" s="275"/>
      <c r="R102" s="275"/>
      <c r="S102" s="275"/>
    </row>
    <row r="103" spans="1:19" ht="17.25" thickBot="1">
      <c r="A103" s="124" t="s">
        <v>130</v>
      </c>
      <c r="B103" s="128">
        <v>383950</v>
      </c>
      <c r="C103" s="76">
        <v>6.2984496099999995E-2</v>
      </c>
      <c r="D103" s="102">
        <v>414650</v>
      </c>
      <c r="E103" s="103">
        <f>IF(ISNUMBER(D103), (D103 - $B103) / $B103, "")</f>
        <v>7.9958327907279594E-2</v>
      </c>
      <c r="F103" s="104">
        <f>IF(ISNUMBER(D103), $B118 * E103, "")</f>
        <v>11993.74918609194</v>
      </c>
      <c r="G103" s="105">
        <v>408400</v>
      </c>
      <c r="H103" s="103">
        <f>IF(ISNUMBER(G103), (G103 - $B103) / $B103, "")</f>
        <v>6.3680166688370884E-2</v>
      </c>
      <c r="I103" s="106">
        <f>IF(ISNUMBER(G103), $B118 * H103, "")</f>
        <v>9552.0250032556323</v>
      </c>
      <c r="J103" s="102">
        <v>412800</v>
      </c>
      <c r="K103" s="103">
        <f>IF(ISNUMBER(J103), (J103 - $B103) / $B103, "")</f>
        <v>7.513999218648261E-2</v>
      </c>
      <c r="L103" s="104">
        <f>IF(ISNUMBER(J103), $B118 * K103, "")</f>
        <v>11270.998827972391</v>
      </c>
      <c r="M103" s="105">
        <v>413800</v>
      </c>
      <c r="N103" s="103">
        <f>IF(ISNUMBER(M103), (M103 - $B103) / $B103, "")</f>
        <v>7.7744497981508009E-2</v>
      </c>
      <c r="O103" s="104">
        <f>IF(ISNUMBER(M103), $B118 * N103, "")</f>
        <v>11661.674697226201</v>
      </c>
      <c r="Q103" s="275"/>
      <c r="R103" s="275"/>
      <c r="S103" s="275"/>
    </row>
    <row r="104" spans="1:19" ht="17.25" thickBot="1">
      <c r="A104" s="124" t="s">
        <v>266</v>
      </c>
      <c r="B104" s="125">
        <v>104</v>
      </c>
      <c r="C104" s="73">
        <v>5.6910569100000002E-2</v>
      </c>
      <c r="D104" s="15">
        <v>101</v>
      </c>
      <c r="E104" s="32">
        <f t="shared" ref="E104:E107" si="50">IF(ISNUMBER(D104), (D104 - $B104) / $B104, "")</f>
        <v>-2.8846153846153848E-2</v>
      </c>
      <c r="F104" s="18">
        <f>IF(ISNUMBER(D104), $B118 * E104, "")</f>
        <v>-4326.9230769230771</v>
      </c>
      <c r="G104" s="31">
        <v>102</v>
      </c>
      <c r="H104" s="32">
        <f t="shared" ref="H104:H107" si="51">IF(ISNUMBER(G104), (G104 - $B104) / $B104, "")</f>
        <v>-1.9230769230769232E-2</v>
      </c>
      <c r="I104" s="97">
        <f>IF(ISNUMBER(G104), $B118 * H104, "")</f>
        <v>-2884.6153846153848</v>
      </c>
      <c r="J104" s="15">
        <v>102</v>
      </c>
      <c r="K104" s="32">
        <f t="shared" ref="K104:K107" si="52">IF(ISNUMBER(J104), (J104 - $B104) / $B104, "")</f>
        <v>-1.9230769230769232E-2</v>
      </c>
      <c r="L104" s="18">
        <f>IF(ISNUMBER(J104), $B118 * K104, "")</f>
        <v>-2884.6153846153848</v>
      </c>
      <c r="M104" s="31">
        <v>103</v>
      </c>
      <c r="N104" s="32">
        <f t="shared" ref="N104:N107" si="53">IF(ISNUMBER(M104), (M104 - $B104) / $B104, "")</f>
        <v>-9.6153846153846159E-3</v>
      </c>
      <c r="O104" s="18">
        <f>IF(ISNUMBER(M104), $B118 * N104, "")</f>
        <v>-1442.3076923076924</v>
      </c>
      <c r="Q104" s="275"/>
      <c r="R104" s="275"/>
      <c r="S104" s="275"/>
    </row>
    <row r="105" spans="1:19" ht="17.25" thickBot="1">
      <c r="A105" s="124" t="s">
        <v>76</v>
      </c>
      <c r="B105" s="125">
        <v>54200</v>
      </c>
      <c r="C105" s="73">
        <v>5.3245239E-2</v>
      </c>
      <c r="D105" s="15">
        <v>60910</v>
      </c>
      <c r="E105" s="32">
        <f t="shared" si="50"/>
        <v>0.12380073800738008</v>
      </c>
      <c r="F105" s="18">
        <f>IF(ISNUMBER(D105), $B118 * E105, "")</f>
        <v>18570.110701107013</v>
      </c>
      <c r="G105" s="31">
        <v>60030</v>
      </c>
      <c r="H105" s="32">
        <f t="shared" si="51"/>
        <v>0.10756457564575646</v>
      </c>
      <c r="I105" s="97">
        <f>IF(ISNUMBER(G105), $B118 * H105, "")</f>
        <v>16134.686346863469</v>
      </c>
      <c r="J105" s="15">
        <v>58390</v>
      </c>
      <c r="K105" s="32">
        <f t="shared" si="52"/>
        <v>7.7306273062730621E-2</v>
      </c>
      <c r="L105" s="18">
        <f>IF(ISNUMBER(J105), $B118 * K105, "")</f>
        <v>11595.940959409592</v>
      </c>
      <c r="M105" s="31">
        <v>57660</v>
      </c>
      <c r="N105" s="32">
        <f t="shared" si="53"/>
        <v>6.383763837638376E-2</v>
      </c>
      <c r="O105" s="18">
        <f>IF(ISNUMBER(M105), $B118 * N105, "")</f>
        <v>9575.645756457563</v>
      </c>
      <c r="Q105" s="275"/>
      <c r="R105" s="275"/>
      <c r="S105" s="275"/>
    </row>
    <row r="106" spans="1:19" ht="17.25" thickBot="1">
      <c r="A106" s="124" t="s">
        <v>108</v>
      </c>
      <c r="B106" s="125">
        <v>54400</v>
      </c>
      <c r="C106" s="73">
        <v>3.8167938899999997E-2</v>
      </c>
      <c r="D106" s="15">
        <v>56500</v>
      </c>
      <c r="E106" s="32">
        <f t="shared" si="50"/>
        <v>3.860294117647059E-2</v>
      </c>
      <c r="F106" s="18">
        <f>IF(ISNUMBER(D106), $B118 * E106, "")</f>
        <v>5790.4411764705883</v>
      </c>
      <c r="G106" s="31">
        <v>55920</v>
      </c>
      <c r="H106" s="32">
        <f t="shared" si="51"/>
        <v>2.7941176470588237E-2</v>
      </c>
      <c r="I106" s="97">
        <f>IF(ISNUMBER(G106), $B118 * H106, "")</f>
        <v>4191.1764705882351</v>
      </c>
      <c r="J106" s="15">
        <v>60960</v>
      </c>
      <c r="K106" s="32">
        <f t="shared" si="52"/>
        <v>0.12058823529411765</v>
      </c>
      <c r="L106" s="18">
        <f>IF(ISNUMBER(J106), $B118 * K106, "")</f>
        <v>18088.235294117647</v>
      </c>
      <c r="M106" s="31">
        <v>62240</v>
      </c>
      <c r="N106" s="32">
        <f t="shared" si="53"/>
        <v>0.14411764705882352</v>
      </c>
      <c r="O106" s="18">
        <f>IF(ISNUMBER(M106), $B118 * N106, "")</f>
        <v>21617.647058823528</v>
      </c>
      <c r="Q106" s="33"/>
      <c r="R106" s="33"/>
    </row>
    <row r="107" spans="1:19" ht="17.25" thickBot="1">
      <c r="A107" s="129" t="s">
        <v>176</v>
      </c>
      <c r="B107" s="130">
        <v>2645</v>
      </c>
      <c r="C107" s="75">
        <v>3.7254901999999999E-2</v>
      </c>
      <c r="D107" s="24">
        <v>2495</v>
      </c>
      <c r="E107" s="25">
        <f t="shared" si="50"/>
        <v>-5.6710775047258979E-2</v>
      </c>
      <c r="F107" s="100">
        <f>IF(ISNUMBER(D107), $B118 * E107, "")</f>
        <v>-8506.6162570888464</v>
      </c>
      <c r="G107" s="98">
        <v>2525</v>
      </c>
      <c r="H107" s="25">
        <f t="shared" si="51"/>
        <v>-4.5368620037807186E-2</v>
      </c>
      <c r="I107" s="99">
        <f>IF(ISNUMBER(G107), $B118 * H107, "")</f>
        <v>-6805.2930056710784</v>
      </c>
      <c r="J107" s="24">
        <v>2500</v>
      </c>
      <c r="K107" s="25">
        <f t="shared" si="52"/>
        <v>-5.4820415879017016E-2</v>
      </c>
      <c r="L107" s="100">
        <f>IF(ISNUMBER(J107), $B118 * K107, "")</f>
        <v>-8223.0623818525528</v>
      </c>
      <c r="M107" s="98">
        <v>2530</v>
      </c>
      <c r="N107" s="25">
        <f t="shared" si="53"/>
        <v>-4.3478260869565216E-2</v>
      </c>
      <c r="O107" s="100">
        <f>IF(ISNUMBER(M107), $B118 * N107, "")</f>
        <v>-6521.7391304347821</v>
      </c>
      <c r="Q107" s="284"/>
      <c r="R107" s="285"/>
      <c r="S107" s="286"/>
    </row>
    <row r="108" spans="1:19">
      <c r="A108" s="122" t="s">
        <v>220</v>
      </c>
      <c r="B108" s="123">
        <v>23.5</v>
      </c>
      <c r="C108" s="72">
        <v>2.1739130400000001E-2</v>
      </c>
      <c r="D108" s="13">
        <v>21.4</v>
      </c>
      <c r="E108" s="14">
        <f>IF(ISNUMBER(D108), (D108 - $B108) / $B108, "")</f>
        <v>-8.9361702127659634E-2</v>
      </c>
      <c r="F108" s="16">
        <f>IF(ISNUMBER(D108), $B118 * E108, "")</f>
        <v>-13404.255319148946</v>
      </c>
      <c r="G108" s="29">
        <v>21.6</v>
      </c>
      <c r="H108" s="14">
        <f>IF(ISNUMBER(G108), (G108 - $B108) / $B108, "")</f>
        <v>-8.085106382978717E-2</v>
      </c>
      <c r="I108" s="96">
        <f>IF(ISNUMBER(G108), $B118 * H108, "")</f>
        <v>-12127.659574468076</v>
      </c>
      <c r="J108" s="13">
        <v>21.6</v>
      </c>
      <c r="K108" s="14">
        <f>IF(ISNUMBER(J108), (J108 - $B108) / $B108, "")</f>
        <v>-8.085106382978717E-2</v>
      </c>
      <c r="L108" s="16">
        <f>IF(ISNUMBER(J108), $B118 * K108, "")</f>
        <v>-12127.659574468076</v>
      </c>
      <c r="M108" s="29">
        <v>22.3</v>
      </c>
      <c r="N108" s="14">
        <f>IF(ISNUMBER(M108), (M108 - $B108) / $B108, "")</f>
        <v>-5.1063829787234012E-2</v>
      </c>
      <c r="O108" s="16">
        <f>IF(ISNUMBER(M108), $B118 * N108, "")</f>
        <v>-7659.5744680851021</v>
      </c>
      <c r="Q108" s="287"/>
      <c r="R108" s="288"/>
      <c r="S108" s="289"/>
    </row>
    <row r="109" spans="1:19" ht="17.25" thickBot="1">
      <c r="A109" s="124" t="s">
        <v>276</v>
      </c>
      <c r="B109" s="125">
        <v>4535</v>
      </c>
      <c r="C109" s="73">
        <v>1.00222717E-2</v>
      </c>
      <c r="D109" s="15">
        <v>4500</v>
      </c>
      <c r="E109" s="32">
        <f t="shared" ref="E109:E112" si="54">IF(ISNUMBER(D109), (D109 - $B109) / $B109, "")</f>
        <v>-7.717750826901874E-3</v>
      </c>
      <c r="F109" s="18">
        <f>IF(ISNUMBER(D109), $B118 * E109, "")</f>
        <v>-1157.6626240352812</v>
      </c>
      <c r="G109" s="31">
        <v>4520</v>
      </c>
      <c r="H109" s="32">
        <f t="shared" ref="H109:H112" si="55">IF(ISNUMBER(G109), (G109 - $B109) / $B109, "")</f>
        <v>-3.3076074972436605E-3</v>
      </c>
      <c r="I109" s="97">
        <f>IF(ISNUMBER(G109), $B118 * H109, "")</f>
        <v>-496.1411245865491</v>
      </c>
      <c r="J109" s="15">
        <v>4470</v>
      </c>
      <c r="K109" s="32">
        <f t="shared" ref="K109:K112" si="56">IF(ISNUMBER(J109), (J109 - $B109) / $B109, "")</f>
        <v>-1.4332965821389196E-2</v>
      </c>
      <c r="L109" s="18">
        <f>IF(ISNUMBER(J109), $B118 * K109, "")</f>
        <v>-2149.9448732083792</v>
      </c>
      <c r="M109" s="31">
        <v>4540</v>
      </c>
      <c r="N109" s="32">
        <f t="shared" ref="N109:N112" si="57">IF(ISNUMBER(M109), (M109 - $B109) / $B109, "")</f>
        <v>1.1025358324145535E-3</v>
      </c>
      <c r="O109" s="18">
        <f>IF(ISNUMBER(M109), $B118 * N109, "")</f>
        <v>165.38037486218303</v>
      </c>
      <c r="Q109" s="290"/>
      <c r="R109" s="291"/>
      <c r="S109" s="292"/>
    </row>
    <row r="110" spans="1:19" ht="17.25" thickBot="1">
      <c r="A110" s="124" t="s">
        <v>144</v>
      </c>
      <c r="B110" s="125">
        <v>11590</v>
      </c>
      <c r="C110" s="73">
        <v>7.8260870000000007E-3</v>
      </c>
      <c r="D110" s="15">
        <v>11930</v>
      </c>
      <c r="E110" s="32">
        <f t="shared" si="54"/>
        <v>2.9335634167385678E-2</v>
      </c>
      <c r="F110" s="18">
        <f>IF(ISNUMBER(D110), $B118 * E110, "")</f>
        <v>4400.3451251078513</v>
      </c>
      <c r="G110" s="31">
        <v>11840</v>
      </c>
      <c r="H110" s="32">
        <f t="shared" si="55"/>
        <v>2.1570319240724764E-2</v>
      </c>
      <c r="I110" s="97">
        <f>IF(ISNUMBER(G110), $B118 * H110, "")</f>
        <v>3235.5478861087145</v>
      </c>
      <c r="J110" s="15">
        <v>11710</v>
      </c>
      <c r="K110" s="32">
        <f t="shared" si="56"/>
        <v>1.0353753235547885E-2</v>
      </c>
      <c r="L110" s="18">
        <f>IF(ISNUMBER(J110), $B118 * K110, "")</f>
        <v>1553.0629853321827</v>
      </c>
      <c r="M110" s="31">
        <v>11990</v>
      </c>
      <c r="N110" s="32">
        <f t="shared" si="57"/>
        <v>3.4512510785159621E-2</v>
      </c>
      <c r="O110" s="18">
        <f>IF(ISNUMBER(M110), $B118 * N110, "")</f>
        <v>5176.8766177739435</v>
      </c>
      <c r="Q110" s="275"/>
      <c r="R110" s="275"/>
      <c r="S110" s="275"/>
    </row>
    <row r="111" spans="1:19" ht="17.25" thickBot="1">
      <c r="A111" s="124" t="s">
        <v>90</v>
      </c>
      <c r="B111" s="125">
        <v>451000</v>
      </c>
      <c r="C111" s="73">
        <v>2.6678524000000002E-3</v>
      </c>
      <c r="D111" s="15">
        <v>450950</v>
      </c>
      <c r="E111" s="32">
        <f t="shared" si="54"/>
        <v>-1.1086474501108647E-4</v>
      </c>
      <c r="F111" s="18">
        <f>IF(ISNUMBER(D111), $B118 * E111, "")</f>
        <v>-16.62971175166297</v>
      </c>
      <c r="G111" s="31">
        <v>440000</v>
      </c>
      <c r="H111" s="32">
        <f t="shared" si="55"/>
        <v>-2.4390243902439025E-2</v>
      </c>
      <c r="I111" s="97">
        <f>IF(ISNUMBER(G111), $B118 * H111, "")</f>
        <v>-3658.5365853658536</v>
      </c>
      <c r="J111" s="15">
        <v>456450</v>
      </c>
      <c r="K111" s="32">
        <f t="shared" si="56"/>
        <v>1.2084257206208426E-2</v>
      </c>
      <c r="L111" s="18">
        <f>IF(ISNUMBER(J111), $B118 * K111, "")</f>
        <v>1812.638580931264</v>
      </c>
      <c r="M111" s="31">
        <v>465900</v>
      </c>
      <c r="N111" s="32">
        <f t="shared" si="57"/>
        <v>3.3037694013303767E-2</v>
      </c>
      <c r="O111" s="18">
        <f>IF(ISNUMBER(M111), $B118 * N111, "")</f>
        <v>4955.6541019955648</v>
      </c>
      <c r="Q111" s="270"/>
      <c r="R111" s="270"/>
      <c r="S111" s="270"/>
    </row>
    <row r="112" spans="1:19" ht="17.25" thickBot="1">
      <c r="A112" s="126" t="s">
        <v>86</v>
      </c>
      <c r="B112" s="127">
        <v>8340</v>
      </c>
      <c r="C112" s="74">
        <v>0</v>
      </c>
      <c r="D112" s="20">
        <v>9060</v>
      </c>
      <c r="E112" s="21">
        <f t="shared" si="54"/>
        <v>8.6330935251798566E-2</v>
      </c>
      <c r="F112" s="22">
        <f>IF(ISNUMBER(D112), $B118 * E112, "")</f>
        <v>12949.640287769786</v>
      </c>
      <c r="G112" s="30">
        <v>8870</v>
      </c>
      <c r="H112" s="21">
        <f t="shared" si="55"/>
        <v>6.3549160671462823E-2</v>
      </c>
      <c r="I112" s="101">
        <f>IF(ISNUMBER(G112), $B118 * H112, "")</f>
        <v>9532.374100719424</v>
      </c>
      <c r="J112" s="20">
        <v>9085</v>
      </c>
      <c r="K112" s="21">
        <f t="shared" si="56"/>
        <v>8.9328537170263789E-2</v>
      </c>
      <c r="L112" s="22">
        <f>IF(ISNUMBER(J112), $B118 * K112, "")</f>
        <v>13399.280575539568</v>
      </c>
      <c r="M112" s="30">
        <v>9180</v>
      </c>
      <c r="N112" s="21">
        <f t="shared" si="57"/>
        <v>0.10071942446043165</v>
      </c>
      <c r="O112" s="22">
        <f>IF(ISNUMBER(M112), $B118 * N112, "")</f>
        <v>15107.913669064748</v>
      </c>
      <c r="Q112" s="270"/>
      <c r="R112" s="270"/>
      <c r="S112" s="270"/>
    </row>
    <row r="113" spans="1:19" ht="17.25" thickBot="1">
      <c r="A113" s="124" t="s">
        <v>96</v>
      </c>
      <c r="B113" s="128">
        <v>4211000</v>
      </c>
      <c r="C113" s="76">
        <v>-3.5494557999999998E-3</v>
      </c>
      <c r="D113" s="102">
        <v>4142000</v>
      </c>
      <c r="E113" s="103">
        <f>IF(ISNUMBER(D113), (D113 - $B113) / $B113, "")</f>
        <v>-1.6385656613630967E-2</v>
      </c>
      <c r="F113" s="104">
        <f>IF(ISNUMBER(D113), $B118 * E113, "")</f>
        <v>-2457.8484920446449</v>
      </c>
      <c r="G113" s="105">
        <v>4163000</v>
      </c>
      <c r="H113" s="103">
        <f>IF(ISNUMBER(G113), (G113 - $B113) / $B113, "")</f>
        <v>-1.1398717644265021E-2</v>
      </c>
      <c r="I113" s="106">
        <f>IF(ISNUMBER(G113), $B118 * H113, "")</f>
        <v>-1709.8076466397531</v>
      </c>
      <c r="J113" s="102">
        <v>4095000</v>
      </c>
      <c r="K113" s="103">
        <f>IF(ISNUMBER(J113), (J113 - $B113) / $B113, "")</f>
        <v>-2.7546900973640466E-2</v>
      </c>
      <c r="L113" s="104">
        <f>IF(ISNUMBER(J113), $B118 * K113, "")</f>
        <v>-4132.0351460460697</v>
      </c>
      <c r="M113" s="105">
        <v>4043000</v>
      </c>
      <c r="N113" s="103">
        <f>IF(ISNUMBER(M113), (M113 - $B113) / $B113, "")</f>
        <v>-3.9895511754927573E-2</v>
      </c>
      <c r="O113" s="104">
        <f>IF(ISNUMBER(M113), $B118 * N113, "")</f>
        <v>-5984.3267632391362</v>
      </c>
      <c r="Q113" s="275"/>
      <c r="R113" s="275"/>
      <c r="S113" s="275"/>
    </row>
    <row r="114" spans="1:19" ht="17.25" thickBot="1">
      <c r="A114" s="124" t="s">
        <v>78</v>
      </c>
      <c r="B114" s="125">
        <v>1241500</v>
      </c>
      <c r="C114" s="73">
        <v>-4.0112313999999998E-3</v>
      </c>
      <c r="D114" s="15">
        <v>1355000</v>
      </c>
      <c r="E114" s="32">
        <f t="shared" ref="E114:E117" si="58">IF(ISNUMBER(D114), (D114 - $B114) / $B114, "")</f>
        <v>9.1421667337897708E-2</v>
      </c>
      <c r="F114" s="18">
        <f>IF(ISNUMBER(D114), $B118 * E114, "")</f>
        <v>13713.250100684656</v>
      </c>
      <c r="G114" s="31">
        <v>1329500</v>
      </c>
      <c r="H114" s="32">
        <f t="shared" ref="H114:H117" si="59">IF(ISNUMBER(G114), (G114 - $B114) / $B114, "")</f>
        <v>7.0881997583568265E-2</v>
      </c>
      <c r="I114" s="97">
        <f>IF(ISNUMBER(G114), $B118 * H114, "")</f>
        <v>10632.29963753524</v>
      </c>
      <c r="J114" s="15">
        <v>1499000</v>
      </c>
      <c r="K114" s="32">
        <f t="shared" ref="K114:K117" si="60">IF(ISNUMBER(J114), (J114 - $B114) / $B114, "")</f>
        <v>0.20741039065646397</v>
      </c>
      <c r="L114" s="18">
        <f>IF(ISNUMBER(J114), $B118 * K114, "")</f>
        <v>31111.558598469594</v>
      </c>
      <c r="M114" s="31">
        <v>1497500</v>
      </c>
      <c r="N114" s="32">
        <f t="shared" ref="N114:N117" si="61">IF(ISNUMBER(M114), (M114 - $B114) / $B114, "")</f>
        <v>0.20620217478856223</v>
      </c>
      <c r="O114" s="18">
        <f>IF(ISNUMBER(M114), $B118 * N114, "")</f>
        <v>30930.326218284335</v>
      </c>
      <c r="Q114" s="275"/>
      <c r="R114" s="275"/>
      <c r="S114" s="275"/>
    </row>
    <row r="115" spans="1:19" ht="17.25" thickBot="1">
      <c r="A115" s="124" t="s">
        <v>74</v>
      </c>
      <c r="B115" s="125">
        <v>28010</v>
      </c>
      <c r="C115" s="73">
        <v>-4.2659083000000002E-3</v>
      </c>
      <c r="D115" s="15">
        <v>27680</v>
      </c>
      <c r="E115" s="32">
        <f t="shared" si="58"/>
        <v>-1.1781506604784006E-2</v>
      </c>
      <c r="F115" s="18">
        <f>IF(ISNUMBER(D115), $B118 * E115, "")</f>
        <v>-1767.225990717601</v>
      </c>
      <c r="G115" s="31">
        <v>28010</v>
      </c>
      <c r="H115" s="32">
        <f t="shared" si="59"/>
        <v>0</v>
      </c>
      <c r="I115" s="97">
        <f>IF(ISNUMBER(G115), $B118 * H115, "")</f>
        <v>0</v>
      </c>
      <c r="J115" s="15">
        <v>28330</v>
      </c>
      <c r="K115" s="32">
        <f t="shared" si="60"/>
        <v>1.1424491253123885E-2</v>
      </c>
      <c r="L115" s="18">
        <f>IF(ISNUMBER(J115), $B118 * K115, "")</f>
        <v>1713.6736879685827</v>
      </c>
      <c r="M115" s="31">
        <v>27890</v>
      </c>
      <c r="N115" s="32">
        <f t="shared" si="61"/>
        <v>-4.2841842199214568E-3</v>
      </c>
      <c r="O115" s="18">
        <f>IF(ISNUMBER(M115), $B118 * N115, "")</f>
        <v>-642.62763298821858</v>
      </c>
      <c r="Q115" s="275"/>
      <c r="R115" s="275"/>
      <c r="S115" s="275"/>
    </row>
    <row r="116" spans="1:19">
      <c r="A116" s="124" t="s">
        <v>242</v>
      </c>
      <c r="B116" s="125">
        <v>7190</v>
      </c>
      <c r="C116" s="73">
        <v>-9.6418732999999993E-3</v>
      </c>
      <c r="D116" s="15">
        <v>6765</v>
      </c>
      <c r="E116" s="32">
        <f t="shared" si="58"/>
        <v>-5.9109874826147428E-2</v>
      </c>
      <c r="F116" s="18">
        <f>IF(ISNUMBER(D116), $B118 * E116, "")</f>
        <v>-8866.4812239221137</v>
      </c>
      <c r="G116" s="31">
        <v>6840</v>
      </c>
      <c r="H116" s="32">
        <f t="shared" si="59"/>
        <v>-4.8678720445062586E-2</v>
      </c>
      <c r="I116" s="97">
        <f>IF(ISNUMBER(G116), $B118 * H116, "")</f>
        <v>-7301.8080667593877</v>
      </c>
      <c r="J116" s="15">
        <v>6715</v>
      </c>
      <c r="K116" s="32">
        <f t="shared" si="60"/>
        <v>-6.6063977746870658E-2</v>
      </c>
      <c r="L116" s="18">
        <f>IF(ISNUMBER(J116), $B118 * K116, "")</f>
        <v>-9909.596662030599</v>
      </c>
      <c r="M116" s="31">
        <v>6985</v>
      </c>
      <c r="N116" s="32">
        <f t="shared" si="61"/>
        <v>-2.851182197496523E-2</v>
      </c>
      <c r="O116" s="18">
        <f>IF(ISNUMBER(M116), $B118 * N116, "")</f>
        <v>-4276.7732962447844</v>
      </c>
      <c r="Q116" s="297"/>
      <c r="R116" s="298"/>
      <c r="S116" s="299"/>
    </row>
    <row r="117" spans="1:19" ht="17.25" thickBot="1">
      <c r="A117" s="129" t="s">
        <v>98</v>
      </c>
      <c r="B117" s="130">
        <v>7250</v>
      </c>
      <c r="C117" s="75">
        <v>-1.42760027E-2</v>
      </c>
      <c r="D117" s="24">
        <v>7475</v>
      </c>
      <c r="E117" s="25">
        <f t="shared" si="58"/>
        <v>3.1034482758620689E-2</v>
      </c>
      <c r="F117" s="100">
        <f>IF(ISNUMBER(D117), $B118 * E117, "")</f>
        <v>4655.1724137931033</v>
      </c>
      <c r="G117" s="98">
        <v>7705</v>
      </c>
      <c r="H117" s="25">
        <f t="shared" si="59"/>
        <v>6.2758620689655167E-2</v>
      </c>
      <c r="I117" s="99">
        <f>IF(ISNUMBER(G117), $B118 * H117, "")</f>
        <v>9413.7931034482754</v>
      </c>
      <c r="J117" s="24">
        <v>7790</v>
      </c>
      <c r="K117" s="25">
        <f t="shared" si="60"/>
        <v>7.4482758620689649E-2</v>
      </c>
      <c r="L117" s="100">
        <f>IF(ISNUMBER(J117), $B118 * K117, "")</f>
        <v>11172.413793103447</v>
      </c>
      <c r="M117" s="98">
        <v>7745</v>
      </c>
      <c r="N117" s="25">
        <f t="shared" si="61"/>
        <v>6.827586206896552E-2</v>
      </c>
      <c r="O117" s="100">
        <f>IF(ISNUMBER(M117), $B118 * N117, "")</f>
        <v>10241.379310344828</v>
      </c>
      <c r="Q117" s="300"/>
      <c r="R117" s="301"/>
      <c r="S117" s="302"/>
    </row>
    <row r="118" spans="1:19" ht="17.25" thickBot="1">
      <c r="A118" s="131" t="s">
        <v>301</v>
      </c>
      <c r="B118" s="308">
        <f>$B$37</f>
        <v>150000</v>
      </c>
      <c r="C118" s="309"/>
      <c r="D118" s="26" t="s">
        <v>302</v>
      </c>
      <c r="E118" s="27">
        <f>IF(COUNT(E98:E117), SUM(E98:E117) / COUNT(E98:E117), 0)</f>
        <v>4.3236176138609084E-2</v>
      </c>
      <c r="F118" s="28">
        <f>SUM(F98:F117)</f>
        <v>129708.52841582726</v>
      </c>
      <c r="G118" s="26" t="s">
        <v>302</v>
      </c>
      <c r="H118" s="27">
        <f>IF(COUNT(H98:H117), SUM(H98:H117) / COUNT(H98:H117), 0)</f>
        <v>3.4729993129670386E-2</v>
      </c>
      <c r="I118" s="28">
        <f>SUM(I98:I117)</f>
        <v>104189.97938901116</v>
      </c>
      <c r="J118" s="26" t="s">
        <v>302</v>
      </c>
      <c r="K118" s="27">
        <f>IF(COUNT(K98:K117), SUM(K98:K117) / COUNT(K98:K117), 0)</f>
        <v>4.0343812382787843E-2</v>
      </c>
      <c r="L118" s="28">
        <f>SUM(L98:L117)</f>
        <v>121031.43714836352</v>
      </c>
      <c r="M118" s="26" t="s">
        <v>302</v>
      </c>
      <c r="N118" s="27">
        <f>IF(COUNT(N98:N117), SUM(N98:N117) / COUNT(N98:N117), 0)</f>
        <v>5.1836947240266676E-2</v>
      </c>
      <c r="O118" s="28">
        <f>SUM(O98:O117)</f>
        <v>155510.84172079997</v>
      </c>
      <c r="Q118" s="303"/>
      <c r="R118" s="304"/>
      <c r="S118" s="305"/>
    </row>
    <row r="120" spans="1:19" ht="17.25" thickBot="1"/>
    <row r="121" spans="1:19" ht="17.25" thickBot="1">
      <c r="A121" s="249" t="s">
        <v>288</v>
      </c>
      <c r="B121" s="250"/>
      <c r="C121" s="250"/>
      <c r="D121" s="250"/>
      <c r="E121" s="250"/>
      <c r="F121" s="250"/>
      <c r="G121" s="250"/>
      <c r="H121" s="250"/>
      <c r="I121" s="250"/>
      <c r="J121" s="250"/>
      <c r="K121" s="250"/>
      <c r="L121" s="250"/>
      <c r="M121" s="250"/>
      <c r="N121" s="250"/>
      <c r="O121" s="251"/>
      <c r="Q121" s="270"/>
      <c r="R121" s="270"/>
      <c r="S121" s="270"/>
    </row>
    <row r="122" spans="1:19" ht="17.25" thickBot="1">
      <c r="A122" s="149" t="s">
        <v>298</v>
      </c>
      <c r="B122" s="249" t="s">
        <v>49</v>
      </c>
      <c r="C122" s="251"/>
      <c r="D122" s="249" t="s">
        <v>58</v>
      </c>
      <c r="E122" s="250"/>
      <c r="F122" s="251"/>
      <c r="G122" s="276">
        <f>_xlfn.IFNA(VLOOKUP(B122, 현재가테이블!$B$2:$D$200, 2, FALSE), "-")</f>
        <v>60874000</v>
      </c>
      <c r="H122" s="277"/>
      <c r="I122" s="278"/>
      <c r="J122" s="249" t="s">
        <v>59</v>
      </c>
      <c r="K122" s="250"/>
      <c r="L122" s="251"/>
      <c r="M122" s="279">
        <f>_xlfn.IFNA(VLOOKUP(B122, 현재가테이블!$B$2:$D$200, 3, FALSE), "-")</f>
        <v>-1.4936000099999999E-2</v>
      </c>
      <c r="N122" s="280"/>
      <c r="O122" s="281"/>
      <c r="Q122" s="270"/>
      <c r="R122" s="270"/>
      <c r="S122" s="270"/>
    </row>
    <row r="123" spans="1:19" ht="17.25" thickBot="1">
      <c r="A123" s="310" t="s">
        <v>55</v>
      </c>
      <c r="B123" s="312" t="str">
        <f>TEXT($G$1, "[$-ko-KR]yyyy-mm-dd(ddd) ") &amp; "오전 00:00"</f>
        <v>2021-05-05(수) 오전 00:00</v>
      </c>
      <c r="C123" s="313"/>
      <c r="D123" s="272" t="str">
        <f>TEXT($G$1, "[$-ko-KR]yyyy-mm-dd(ddd) ") &amp; "오후 14:00"</f>
        <v>2021-05-05(수) 오후 14:00</v>
      </c>
      <c r="E123" s="273"/>
      <c r="F123" s="274"/>
      <c r="G123" s="272" t="str">
        <f>TEXT($G$1, "[$-ko-KR]yyyy-mm-dd(ddd) ") &amp; "오후 19:00"</f>
        <v>2021-05-05(수) 오후 19:00</v>
      </c>
      <c r="H123" s="273"/>
      <c r="I123" s="274"/>
      <c r="J123" s="272" t="str">
        <f>TEXT($G$1, "[$-ko-KR]yyyy-mm-dd(ddd) ") &amp; "오후 21:00"</f>
        <v>2021-05-05(수) 오후 21:00</v>
      </c>
      <c r="K123" s="273"/>
      <c r="L123" s="274"/>
      <c r="M123" s="272" t="str">
        <f>TEXT($G$1+1, "[$-ko-KR]yyyy-mm-dd(ddd) ") &amp; "오전 00:00"</f>
        <v>2021-05-06(목) 오전 00:00</v>
      </c>
      <c r="N123" s="273"/>
      <c r="O123" s="274"/>
      <c r="Q123" s="270"/>
      <c r="R123" s="270"/>
      <c r="S123" s="270"/>
    </row>
    <row r="124" spans="1:19" ht="17.25" thickBot="1">
      <c r="A124" s="311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52" t="s">
        <v>58</v>
      </c>
      <c r="H124" s="153" t="s">
        <v>299</v>
      </c>
      <c r="I124" s="15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75"/>
      <c r="R124" s="275"/>
      <c r="S124" s="275"/>
    </row>
    <row r="125" spans="1:19" ht="17.25" thickBot="1">
      <c r="A125" s="122" t="s">
        <v>220</v>
      </c>
      <c r="B125" s="123">
        <v>23.5</v>
      </c>
      <c r="C125" s="72">
        <v>2.1739130400000001E-2</v>
      </c>
      <c r="D125" s="13">
        <v>21.4</v>
      </c>
      <c r="E125" s="14">
        <f>IF(ISNUMBER(D125), (D125 - $B125) / $B125, "")</f>
        <v>-8.9361702127659634E-2</v>
      </c>
      <c r="F125" s="16">
        <f>IF(ISNUMBER(D125), $B145 * E125, "")</f>
        <v>-13404.255319148946</v>
      </c>
      <c r="G125" s="29">
        <v>21.6</v>
      </c>
      <c r="H125" s="14">
        <f>IF(ISNUMBER(G125), (G125 - $B125) / $B125, "")</f>
        <v>-8.085106382978717E-2</v>
      </c>
      <c r="I125" s="96">
        <f>IF(ISNUMBER(G125), $B145 * H125, "")</f>
        <v>-12127.659574468076</v>
      </c>
      <c r="J125" s="13">
        <v>21.6</v>
      </c>
      <c r="K125" s="14">
        <f>IF(ISNUMBER(J125), (J125 - $B125) / $B125, "")</f>
        <v>-8.085106382978717E-2</v>
      </c>
      <c r="L125" s="16">
        <f>IF(ISNUMBER(J125), $B145 * K125, "")</f>
        <v>-12127.659574468076</v>
      </c>
      <c r="M125" s="29">
        <v>22.3</v>
      </c>
      <c r="N125" s="14">
        <f>IF(ISNUMBER(M125), (M125 - $B125) / $B125, "")</f>
        <v>-5.1063829787234012E-2</v>
      </c>
      <c r="O125" s="16">
        <f>IF(ISNUMBER(M125), $B145 * N125, "")</f>
        <v>-7659.5744680851021</v>
      </c>
      <c r="Q125" s="270"/>
      <c r="R125" s="270"/>
      <c r="S125" s="270"/>
    </row>
    <row r="126" spans="1:19" ht="17.25" thickBot="1">
      <c r="A126" s="124" t="s">
        <v>154</v>
      </c>
      <c r="B126" s="125">
        <v>22.9</v>
      </c>
      <c r="C126" s="73">
        <v>-4.5833333300000001E-2</v>
      </c>
      <c r="D126" s="15">
        <v>20.9</v>
      </c>
      <c r="E126" s="32">
        <f t="shared" ref="E126:E129" si="62">IF(ISNUMBER(D126), (D126 - $B126) / $B126, "")</f>
        <v>-8.7336244541484725E-2</v>
      </c>
      <c r="F126" s="18">
        <f>IF(ISNUMBER(D126), $B145 * E126, "")</f>
        <v>-13100.436681222709</v>
      </c>
      <c r="G126" s="31">
        <v>21.6</v>
      </c>
      <c r="H126" s="32">
        <f t="shared" ref="H126:H129" si="63">IF(ISNUMBER(G126), (G126 - $B126) / $B126, "")</f>
        <v>-5.6768558951964948E-2</v>
      </c>
      <c r="I126" s="97">
        <f>IF(ISNUMBER(G126), $B145 * H126, "")</f>
        <v>-8515.2838427947427</v>
      </c>
      <c r="J126" s="15">
        <v>21.1</v>
      </c>
      <c r="K126" s="32">
        <f t="shared" ref="K126:K129" si="64">IF(ISNUMBER(J126), (J126 - $B126) / $B126, "")</f>
        <v>-7.8602620087336122E-2</v>
      </c>
      <c r="L126" s="18">
        <f>IF(ISNUMBER(J126), $B145 * K126, "")</f>
        <v>-11790.393013100418</v>
      </c>
      <c r="M126" s="31">
        <v>21.5</v>
      </c>
      <c r="N126" s="32">
        <f t="shared" ref="N126:N129" si="65">IF(ISNUMBER(M126), (M126 - $B126) / $B126, "")</f>
        <v>-6.1135371179039243E-2</v>
      </c>
      <c r="O126" s="18">
        <f>IF(ISNUMBER(M126), $B145 * N126, "")</f>
        <v>-9170.3056768558872</v>
      </c>
      <c r="Q126" s="270"/>
      <c r="R126" s="270"/>
      <c r="S126" s="270"/>
    </row>
    <row r="127" spans="1:19" ht="17.25" thickBot="1">
      <c r="A127" s="124" t="s">
        <v>100</v>
      </c>
      <c r="B127" s="125">
        <v>8.08</v>
      </c>
      <c r="C127" s="73">
        <v>-5.05287897E-2</v>
      </c>
      <c r="D127" s="15">
        <v>8.0399999999999991</v>
      </c>
      <c r="E127" s="32">
        <f t="shared" si="62"/>
        <v>-4.950495049505065E-3</v>
      </c>
      <c r="F127" s="18">
        <f>IF(ISNUMBER(D127), $B145 * E127, "")</f>
        <v>-742.57425742575981</v>
      </c>
      <c r="G127" s="31">
        <v>9.01</v>
      </c>
      <c r="H127" s="32">
        <f t="shared" si="63"/>
        <v>0.11509900990099006</v>
      </c>
      <c r="I127" s="97">
        <f>IF(ISNUMBER(G127), $B145 * H127, "")</f>
        <v>17264.851485148509</v>
      </c>
      <c r="J127" s="15">
        <v>8.4600000000000009</v>
      </c>
      <c r="K127" s="32">
        <f t="shared" si="64"/>
        <v>4.7029702970297127E-2</v>
      </c>
      <c r="L127" s="18">
        <f>IF(ISNUMBER(J127), $B145 * K127, "")</f>
        <v>7054.4554455445686</v>
      </c>
      <c r="M127" s="31">
        <v>8.52</v>
      </c>
      <c r="N127" s="32">
        <f t="shared" si="65"/>
        <v>5.4455445544554393E-2</v>
      </c>
      <c r="O127" s="18">
        <f>IF(ISNUMBER(M127), $B145 * N127, "")</f>
        <v>8168.3168316831589</v>
      </c>
      <c r="Q127" s="275"/>
      <c r="R127" s="275"/>
      <c r="S127" s="275"/>
    </row>
    <row r="128" spans="1:19" ht="17.25" thickBot="1">
      <c r="A128" s="124" t="s">
        <v>196</v>
      </c>
      <c r="B128" s="125">
        <v>21.1</v>
      </c>
      <c r="C128" s="73">
        <v>-7.0484581500000004E-2</v>
      </c>
      <c r="D128" s="15">
        <v>20.3</v>
      </c>
      <c r="E128" s="32">
        <f t="shared" si="62"/>
        <v>-3.7914691943127993E-2</v>
      </c>
      <c r="F128" s="18">
        <f>IF(ISNUMBER(D128), $B145 * E128, "")</f>
        <v>-5687.2037914691991</v>
      </c>
      <c r="G128" s="31">
        <v>20.5</v>
      </c>
      <c r="H128" s="32">
        <f t="shared" si="63"/>
        <v>-2.8436018957346036E-2</v>
      </c>
      <c r="I128" s="97">
        <f>IF(ISNUMBER(G128), $B145 * H128, "")</f>
        <v>-4265.4028436019053</v>
      </c>
      <c r="J128" s="15">
        <v>20.399999999999999</v>
      </c>
      <c r="K128" s="32">
        <f t="shared" si="64"/>
        <v>-3.3175355450237101E-2</v>
      </c>
      <c r="L128" s="18">
        <f>IF(ISNUMBER(J128), $B145 * K128, "")</f>
        <v>-4976.3033175355649</v>
      </c>
      <c r="M128" s="31">
        <v>20.9</v>
      </c>
      <c r="N128" s="32">
        <f t="shared" si="65"/>
        <v>-9.4786729857821248E-3</v>
      </c>
      <c r="O128" s="18">
        <f>IF(ISNUMBER(M128), $B145 * N128, "")</f>
        <v>-1421.8009478673187</v>
      </c>
      <c r="Q128" s="275"/>
      <c r="R128" s="275"/>
      <c r="S128" s="275"/>
    </row>
    <row r="129" spans="1:19" ht="17.25" thickBot="1">
      <c r="A129" s="126" t="s">
        <v>65</v>
      </c>
      <c r="B129" s="127">
        <v>73.400000000000006</v>
      </c>
      <c r="C129" s="74">
        <v>-7.0886075899999998E-2</v>
      </c>
      <c r="D129" s="20">
        <v>72.599999999999994</v>
      </c>
      <c r="E129" s="21">
        <f t="shared" si="62"/>
        <v>-1.0899182561308056E-2</v>
      </c>
      <c r="F129" s="22">
        <f>IF(ISNUMBER(D129), $B145 * E129, "")</f>
        <v>-1634.8773841962084</v>
      </c>
      <c r="G129" s="30">
        <v>73.900000000000006</v>
      </c>
      <c r="H129" s="21">
        <f t="shared" si="63"/>
        <v>6.8119891008174378E-3</v>
      </c>
      <c r="I129" s="101">
        <f>IF(ISNUMBER(G129), $B145 * H129, "")</f>
        <v>1021.7983651226157</v>
      </c>
      <c r="J129" s="20">
        <v>72.099999999999994</v>
      </c>
      <c r="K129" s="21">
        <f t="shared" si="64"/>
        <v>-1.7711171662125495E-2</v>
      </c>
      <c r="L129" s="22">
        <f>IF(ISNUMBER(J129), $B145 * K129, "")</f>
        <v>-2656.6757493188243</v>
      </c>
      <c r="M129" s="30">
        <v>73.8</v>
      </c>
      <c r="N129" s="21">
        <f t="shared" si="65"/>
        <v>5.4495912806538345E-3</v>
      </c>
      <c r="O129" s="22">
        <f>IF(ISNUMBER(M129), $B145 * N129, "")</f>
        <v>817.43869209807519</v>
      </c>
      <c r="Q129" s="275"/>
      <c r="R129" s="275"/>
      <c r="S129" s="275"/>
    </row>
    <row r="130" spans="1:19" ht="17.25" thickBot="1">
      <c r="A130" s="124" t="s">
        <v>254</v>
      </c>
      <c r="B130" s="128">
        <v>92.9</v>
      </c>
      <c r="C130" s="76">
        <v>-7.0999999999999994E-2</v>
      </c>
      <c r="D130" s="102">
        <v>86</v>
      </c>
      <c r="E130" s="103">
        <f>IF(ISNUMBER(D130), (D130 - $B130) / $B130, "")</f>
        <v>-7.427341227125947E-2</v>
      </c>
      <c r="F130" s="104">
        <f>IF(ISNUMBER(D130), $B145 * E130, "")</f>
        <v>-11141.011840688921</v>
      </c>
      <c r="G130" s="105">
        <v>88.1</v>
      </c>
      <c r="H130" s="103">
        <f>IF(ISNUMBER(G130), (G130 - $B130) / $B130, "")</f>
        <v>-5.1668460710441455E-2</v>
      </c>
      <c r="I130" s="106">
        <f>IF(ISNUMBER(G130), $B145 * H130, "")</f>
        <v>-7750.2691065662184</v>
      </c>
      <c r="J130" s="102">
        <v>86.5</v>
      </c>
      <c r="K130" s="103">
        <f>IF(ISNUMBER(J130), (J130 - $B130) / $B130, "")</f>
        <v>-6.8891280947255176E-2</v>
      </c>
      <c r="L130" s="104">
        <f>IF(ISNUMBER(J130), $B145 * K130, "")</f>
        <v>-10333.692142088277</v>
      </c>
      <c r="M130" s="105">
        <v>93.6</v>
      </c>
      <c r="N130" s="103">
        <f>IF(ISNUMBER(M130), (M130 - $B130) / $B130, "")</f>
        <v>7.534983853605905E-3</v>
      </c>
      <c r="O130" s="104">
        <f>IF(ISNUMBER(M130), $B145 * N130, "")</f>
        <v>1130.2475780408859</v>
      </c>
      <c r="Q130" s="275"/>
      <c r="R130" s="275"/>
      <c r="S130" s="275"/>
    </row>
    <row r="131" spans="1:19" ht="17.25" thickBot="1">
      <c r="A131" s="124" t="s">
        <v>72</v>
      </c>
      <c r="B131" s="125">
        <v>35.6</v>
      </c>
      <c r="C131" s="73">
        <v>-7.2916666699999994E-2</v>
      </c>
      <c r="D131" s="15">
        <v>34.6</v>
      </c>
      <c r="E131" s="32">
        <f t="shared" ref="E131:E134" si="66">IF(ISNUMBER(D131), (D131 - $B131) / $B131, "")</f>
        <v>-2.8089887640449437E-2</v>
      </c>
      <c r="F131" s="18">
        <f>IF(ISNUMBER(D131), $B145 * E131, "")</f>
        <v>-4213.4831460674159</v>
      </c>
      <c r="G131" s="31">
        <v>35.9</v>
      </c>
      <c r="H131" s="32">
        <f t="shared" ref="H131:H134" si="67">IF(ISNUMBER(G131), (G131 - $B131) / $B131, "")</f>
        <v>8.4269662921347514E-3</v>
      </c>
      <c r="I131" s="97">
        <f>IF(ISNUMBER(G131), $B145 * H131, "")</f>
        <v>1264.0449438202127</v>
      </c>
      <c r="J131" s="15">
        <v>35.1</v>
      </c>
      <c r="K131" s="32">
        <f t="shared" ref="K131:K134" si="68">IF(ISNUMBER(J131), (J131 - $B131) / $B131, "")</f>
        <v>-1.4044943820224719E-2</v>
      </c>
      <c r="L131" s="18">
        <f>IF(ISNUMBER(J131), $B145 * K131, "")</f>
        <v>-2106.7415730337079</v>
      </c>
      <c r="M131" s="31">
        <v>36.1</v>
      </c>
      <c r="N131" s="32">
        <f t="shared" ref="N131:N134" si="69">IF(ISNUMBER(M131), (M131 - $B131) / $B131, "")</f>
        <v>1.4044943820224719E-2</v>
      </c>
      <c r="O131" s="18">
        <f>IF(ISNUMBER(M131), $B145 * N131, "")</f>
        <v>2106.7415730337079</v>
      </c>
      <c r="Q131" s="275"/>
      <c r="R131" s="275"/>
      <c r="S131" s="275"/>
    </row>
    <row r="132" spans="1:19" ht="17.25" thickBot="1">
      <c r="A132" s="124" t="s">
        <v>214</v>
      </c>
      <c r="B132" s="125">
        <v>23.5</v>
      </c>
      <c r="C132" s="73">
        <v>-7.8431372499999999E-2</v>
      </c>
      <c r="D132" s="15">
        <v>21.6</v>
      </c>
      <c r="E132" s="32">
        <f t="shared" si="66"/>
        <v>-8.085106382978717E-2</v>
      </c>
      <c r="F132" s="18">
        <f>IF(ISNUMBER(D132), $B145 * E132, "")</f>
        <v>-12127.659574468076</v>
      </c>
      <c r="G132" s="31">
        <v>22.3</v>
      </c>
      <c r="H132" s="32">
        <f t="shared" si="67"/>
        <v>-5.1063829787234012E-2</v>
      </c>
      <c r="I132" s="97">
        <f>IF(ISNUMBER(G132), $B145 * H132, "")</f>
        <v>-7659.5744680851021</v>
      </c>
      <c r="J132" s="15">
        <v>21.9</v>
      </c>
      <c r="K132" s="32">
        <f t="shared" si="68"/>
        <v>-6.808510638297878E-2</v>
      </c>
      <c r="L132" s="18">
        <f>IF(ISNUMBER(J132), $B145 * K132, "")</f>
        <v>-10212.765957446816</v>
      </c>
      <c r="M132" s="31">
        <v>22.4</v>
      </c>
      <c r="N132" s="32">
        <f t="shared" si="69"/>
        <v>-4.6808510638297933E-2</v>
      </c>
      <c r="O132" s="18">
        <f>IF(ISNUMBER(M132), $B145 * N132, "")</f>
        <v>-7021.27659574469</v>
      </c>
      <c r="Q132" s="275"/>
      <c r="R132" s="275"/>
      <c r="S132" s="275"/>
    </row>
    <row r="133" spans="1:19" ht="17.25" thickBot="1">
      <c r="A133" s="124" t="s">
        <v>172</v>
      </c>
      <c r="B133" s="125">
        <v>26.5</v>
      </c>
      <c r="C133" s="73">
        <v>-7.9861111100000007E-2</v>
      </c>
      <c r="D133" s="15">
        <v>25.1</v>
      </c>
      <c r="E133" s="32">
        <f t="shared" si="66"/>
        <v>-5.283018867924523E-2</v>
      </c>
      <c r="F133" s="18">
        <f>IF(ISNUMBER(D133), $B145 * E133, "")</f>
        <v>-7924.5283018867849</v>
      </c>
      <c r="G133" s="31">
        <v>25.3</v>
      </c>
      <c r="H133" s="32">
        <f t="shared" si="67"/>
        <v>-4.5283018867924504E-2</v>
      </c>
      <c r="I133" s="97">
        <f>IF(ISNUMBER(G133), $B145 * H133, "")</f>
        <v>-6792.4528301886758</v>
      </c>
      <c r="J133" s="15">
        <v>25.3</v>
      </c>
      <c r="K133" s="32">
        <f t="shared" si="68"/>
        <v>-4.5283018867924504E-2</v>
      </c>
      <c r="L133" s="18">
        <f>IF(ISNUMBER(J133), $B145 * K133, "")</f>
        <v>-6792.4528301886758</v>
      </c>
      <c r="M133" s="31">
        <v>25.6</v>
      </c>
      <c r="N133" s="32">
        <f t="shared" si="69"/>
        <v>-3.396226415094334E-2</v>
      </c>
      <c r="O133" s="18">
        <f>IF(ISNUMBER(M133), $B145 * N133, "")</f>
        <v>-5094.3396226415007</v>
      </c>
      <c r="Q133" s="33"/>
      <c r="R133" s="33"/>
    </row>
    <row r="134" spans="1:19" ht="17.25" thickBot="1">
      <c r="A134" s="129" t="s">
        <v>228</v>
      </c>
      <c r="B134" s="130">
        <v>19.5</v>
      </c>
      <c r="C134" s="75">
        <v>-8.0188679200000001E-2</v>
      </c>
      <c r="D134" s="24">
        <v>18</v>
      </c>
      <c r="E134" s="25">
        <f t="shared" si="66"/>
        <v>-7.6923076923076927E-2</v>
      </c>
      <c r="F134" s="100">
        <f>IF(ISNUMBER(D134), $B145 * E134, "")</f>
        <v>-11538.461538461539</v>
      </c>
      <c r="G134" s="98">
        <v>18.600000000000001</v>
      </c>
      <c r="H134" s="25">
        <f t="shared" si="67"/>
        <v>-4.615384615384608E-2</v>
      </c>
      <c r="I134" s="99">
        <f>IF(ISNUMBER(G134), $B145 * H134, "")</f>
        <v>-6923.076923076912</v>
      </c>
      <c r="J134" s="24">
        <v>18.3</v>
      </c>
      <c r="K134" s="25">
        <f t="shared" si="68"/>
        <v>-6.15384615384615E-2</v>
      </c>
      <c r="L134" s="100">
        <f>IF(ISNUMBER(J134), $B145 * K134, "")</f>
        <v>-9230.769230769225</v>
      </c>
      <c r="M134" s="98">
        <v>18.7</v>
      </c>
      <c r="N134" s="25">
        <f t="shared" si="69"/>
        <v>-4.102564102564106E-2</v>
      </c>
      <c r="O134" s="100">
        <f>IF(ISNUMBER(M134), $B145 * N134, "")</f>
        <v>-6153.8461538461588</v>
      </c>
      <c r="Q134" s="284"/>
      <c r="R134" s="285"/>
      <c r="S134" s="286"/>
    </row>
    <row r="135" spans="1:19">
      <c r="A135" s="122" t="s">
        <v>222</v>
      </c>
      <c r="B135" s="123">
        <v>19.3</v>
      </c>
      <c r="C135" s="72">
        <v>-8.0952381000000004E-2</v>
      </c>
      <c r="D135" s="13">
        <v>18</v>
      </c>
      <c r="E135" s="14">
        <f>IF(ISNUMBER(D135), (D135 - $B135) / $B135, "")</f>
        <v>-6.7357512953367907E-2</v>
      </c>
      <c r="F135" s="16">
        <f>IF(ISNUMBER(D135), $B145 * E135, "")</f>
        <v>-10103.626943005185</v>
      </c>
      <c r="G135" s="29">
        <v>18.7</v>
      </c>
      <c r="H135" s="14">
        <f>IF(ISNUMBER(G135), (G135 - $B135) / $B135, "")</f>
        <v>-3.1088082901554476E-2</v>
      </c>
      <c r="I135" s="96">
        <f>IF(ISNUMBER(G135), $B145 * H135, "")</f>
        <v>-4663.2124352331712</v>
      </c>
      <c r="J135" s="13">
        <v>18.2</v>
      </c>
      <c r="K135" s="14">
        <f>IF(ISNUMBER(J135), (J135 - $B135) / $B135, "")</f>
        <v>-5.6994818652849812E-2</v>
      </c>
      <c r="L135" s="16">
        <f>IF(ISNUMBER(J135), $B145 * K135, "")</f>
        <v>-8549.2227979274721</v>
      </c>
      <c r="M135" s="29">
        <v>18.7</v>
      </c>
      <c r="N135" s="14">
        <f>IF(ISNUMBER(M135), (M135 - $B135) / $B135, "")</f>
        <v>-3.1088082901554476E-2</v>
      </c>
      <c r="O135" s="16">
        <f>IF(ISNUMBER(M135), $B145 * N135, "")</f>
        <v>-4663.2124352331712</v>
      </c>
      <c r="Q135" s="287"/>
      <c r="R135" s="288"/>
      <c r="S135" s="289"/>
    </row>
    <row r="136" spans="1:19" ht="17.25" thickBot="1">
      <c r="A136" s="124" t="s">
        <v>236</v>
      </c>
      <c r="B136" s="125">
        <v>72.2</v>
      </c>
      <c r="C136" s="73">
        <v>-8.7231352700000001E-2</v>
      </c>
      <c r="D136" s="15">
        <v>67.7</v>
      </c>
      <c r="E136" s="32">
        <f t="shared" ref="E136:E139" si="70">IF(ISNUMBER(D136), (D136 - $B136) / $B136, "")</f>
        <v>-6.2326869806094178E-2</v>
      </c>
      <c r="F136" s="18">
        <f>IF(ISNUMBER(D136), $B145 * E136, "")</f>
        <v>-9349.0304709141274</v>
      </c>
      <c r="G136" s="31">
        <v>68.900000000000006</v>
      </c>
      <c r="H136" s="32">
        <f t="shared" ref="H136:H139" si="71">IF(ISNUMBER(G136), (G136 - $B136) / $B136, "")</f>
        <v>-4.5706371191135693E-2</v>
      </c>
      <c r="I136" s="97">
        <f>IF(ISNUMBER(G136), $B145 * H136, "")</f>
        <v>-6855.9556786703542</v>
      </c>
      <c r="J136" s="15">
        <v>68</v>
      </c>
      <c r="K136" s="32">
        <f t="shared" ref="K136:K139" si="72">IF(ISNUMBER(J136), (J136 - $B136) / $B136, "")</f>
        <v>-5.8171745152354605E-2</v>
      </c>
      <c r="L136" s="18">
        <f>IF(ISNUMBER(J136), $B145 * K136, "")</f>
        <v>-8725.7617728531914</v>
      </c>
      <c r="M136" s="31">
        <v>69.599999999999994</v>
      </c>
      <c r="N136" s="32">
        <f t="shared" ref="N136:N139" si="73">IF(ISNUMBER(M136), (M136 - $B136) / $B136, "")</f>
        <v>-3.6011080332410086E-2</v>
      </c>
      <c r="O136" s="18">
        <f>IF(ISNUMBER(M136), $B145 * N136, "")</f>
        <v>-5401.662049861513</v>
      </c>
      <c r="Q136" s="290"/>
      <c r="R136" s="291"/>
      <c r="S136" s="292"/>
    </row>
    <row r="137" spans="1:19" ht="17.25" thickBot="1">
      <c r="A137" s="124" t="s">
        <v>218</v>
      </c>
      <c r="B137" s="125">
        <v>30.3</v>
      </c>
      <c r="C137" s="73">
        <v>-8.7349397600000003E-2</v>
      </c>
      <c r="D137" s="15">
        <v>28.1</v>
      </c>
      <c r="E137" s="32">
        <f t="shared" si="70"/>
        <v>-7.2607260726072584E-2</v>
      </c>
      <c r="F137" s="18">
        <f>IF(ISNUMBER(D137), $B145 * E137, "")</f>
        <v>-10891.089108910888</v>
      </c>
      <c r="G137" s="31">
        <v>28.7</v>
      </c>
      <c r="H137" s="32">
        <f t="shared" si="71"/>
        <v>-5.2805280528052848E-2</v>
      </c>
      <c r="I137" s="97">
        <f>IF(ISNUMBER(G137), $B145 * H137, "")</f>
        <v>-7920.7920792079267</v>
      </c>
      <c r="J137" s="15">
        <v>28.4</v>
      </c>
      <c r="K137" s="32">
        <f t="shared" si="72"/>
        <v>-6.2706270627062771E-2</v>
      </c>
      <c r="L137" s="18">
        <f>IF(ISNUMBER(J137), $B145 * K137, "")</f>
        <v>-9405.9405940594152</v>
      </c>
      <c r="M137" s="31">
        <v>28.8</v>
      </c>
      <c r="N137" s="32">
        <f t="shared" si="73"/>
        <v>-4.95049504950495E-2</v>
      </c>
      <c r="O137" s="18">
        <f>IF(ISNUMBER(M137), $B145 * N137, "")</f>
        <v>-7425.7425742574251</v>
      </c>
      <c r="Q137" s="275"/>
      <c r="R137" s="275"/>
      <c r="S137" s="275"/>
    </row>
    <row r="138" spans="1:19" ht="17.25" thickBot="1">
      <c r="A138" s="124" t="s">
        <v>186</v>
      </c>
      <c r="B138" s="125">
        <v>27.1</v>
      </c>
      <c r="C138" s="73">
        <v>-8.7542087500000004E-2</v>
      </c>
      <c r="D138" s="15">
        <v>25.5</v>
      </c>
      <c r="E138" s="32">
        <f t="shared" si="70"/>
        <v>-5.9040590405904106E-2</v>
      </c>
      <c r="F138" s="18">
        <f>IF(ISNUMBER(D138), $B145 * E138, "")</f>
        <v>-8856.0885608856152</v>
      </c>
      <c r="G138" s="31">
        <v>25.7</v>
      </c>
      <c r="H138" s="32">
        <f t="shared" si="71"/>
        <v>-5.1660516605166129E-2</v>
      </c>
      <c r="I138" s="97">
        <f>IF(ISNUMBER(G138), $B145 * H138, "")</f>
        <v>-7749.0774907749192</v>
      </c>
      <c r="J138" s="15">
        <v>25.2</v>
      </c>
      <c r="K138" s="32">
        <f t="shared" si="72"/>
        <v>-7.0110701107011147E-2</v>
      </c>
      <c r="L138" s="18">
        <f>IF(ISNUMBER(J138), $B145 * K138, "")</f>
        <v>-10516.605166051671</v>
      </c>
      <c r="M138" s="31">
        <v>25.9</v>
      </c>
      <c r="N138" s="32">
        <f t="shared" si="73"/>
        <v>-4.4280442804428145E-2</v>
      </c>
      <c r="O138" s="18">
        <f>IF(ISNUMBER(M138), $B145 * N138, "")</f>
        <v>-6642.0664206642214</v>
      </c>
      <c r="Q138" s="270"/>
      <c r="R138" s="270"/>
      <c r="S138" s="270"/>
    </row>
    <row r="139" spans="1:19" ht="17.25" thickBot="1">
      <c r="A139" s="126" t="s">
        <v>198</v>
      </c>
      <c r="B139" s="127">
        <v>29.9</v>
      </c>
      <c r="C139" s="74">
        <v>-8.84146341E-2</v>
      </c>
      <c r="D139" s="20">
        <v>28.2</v>
      </c>
      <c r="E139" s="21">
        <f t="shared" si="70"/>
        <v>-5.6856187290969876E-2</v>
      </c>
      <c r="F139" s="22">
        <f>IF(ISNUMBER(D139), $B145 * E139, "")</f>
        <v>-8528.4280936454816</v>
      </c>
      <c r="G139" s="30">
        <v>28.5</v>
      </c>
      <c r="H139" s="21">
        <f t="shared" si="71"/>
        <v>-4.6822742474916343E-2</v>
      </c>
      <c r="I139" s="101">
        <f>IF(ISNUMBER(G139), $B145 * H139, "")</f>
        <v>-7023.411371237451</v>
      </c>
      <c r="J139" s="20">
        <v>28.2</v>
      </c>
      <c r="K139" s="21">
        <f t="shared" si="72"/>
        <v>-5.6856187290969876E-2</v>
      </c>
      <c r="L139" s="22">
        <f>IF(ISNUMBER(J139), $B145 * K139, "")</f>
        <v>-8528.4280936454816</v>
      </c>
      <c r="M139" s="30">
        <v>29</v>
      </c>
      <c r="N139" s="21">
        <f t="shared" si="73"/>
        <v>-3.0100334448160487E-2</v>
      </c>
      <c r="O139" s="22">
        <f>IF(ISNUMBER(M139), $B145 * N139, "")</f>
        <v>-4515.0501672240734</v>
      </c>
      <c r="Q139" s="270"/>
      <c r="R139" s="270"/>
      <c r="S139" s="270"/>
    </row>
    <row r="140" spans="1:19" ht="17.25" thickBot="1">
      <c r="A140" s="124" t="s">
        <v>152</v>
      </c>
      <c r="B140" s="128">
        <v>45.6</v>
      </c>
      <c r="C140" s="76">
        <v>-8.9820359299999999E-2</v>
      </c>
      <c r="D140" s="102">
        <v>45.8</v>
      </c>
      <c r="E140" s="103">
        <f>IF(ISNUMBER(D140), (D140 - $B140) / $B140, "")</f>
        <v>4.3859649122806078E-3</v>
      </c>
      <c r="F140" s="104">
        <f>IF(ISNUMBER(D140), $B145 * E140, "")</f>
        <v>657.89473684209122</v>
      </c>
      <c r="G140" s="105">
        <v>47.6</v>
      </c>
      <c r="H140" s="103">
        <f>IF(ISNUMBER(G140), (G140 - $B140) / $B140, "")</f>
        <v>4.3859649122807015E-2</v>
      </c>
      <c r="I140" s="106">
        <f>IF(ISNUMBER(G140), $B145 * H140, "")</f>
        <v>6578.9473684210525</v>
      </c>
      <c r="J140" s="102">
        <v>48.1</v>
      </c>
      <c r="K140" s="103">
        <f>IF(ISNUMBER(J140), (J140 - $B140) / $B140, "")</f>
        <v>5.4824561403508769E-2</v>
      </c>
      <c r="L140" s="104">
        <f>IF(ISNUMBER(J140), $B145 * K140, "")</f>
        <v>8223.6842105263149</v>
      </c>
      <c r="M140" s="105">
        <v>51.5</v>
      </c>
      <c r="N140" s="103">
        <f>IF(ISNUMBER(M140), (M140 - $B140) / $B140, "")</f>
        <v>0.12938596491228066</v>
      </c>
      <c r="O140" s="104">
        <f>IF(ISNUMBER(M140), $B145 * N140, "")</f>
        <v>19407.8947368421</v>
      </c>
      <c r="Q140" s="275"/>
      <c r="R140" s="275"/>
      <c r="S140" s="275"/>
    </row>
    <row r="141" spans="1:19" ht="17.25" thickBot="1">
      <c r="A141" s="124" t="s">
        <v>126</v>
      </c>
      <c r="B141" s="125">
        <v>63.1</v>
      </c>
      <c r="C141" s="73">
        <v>-9.5988538700000001E-2</v>
      </c>
      <c r="D141" s="15">
        <v>60.1</v>
      </c>
      <c r="E141" s="32">
        <f t="shared" ref="E141:E144" si="74">IF(ISNUMBER(D141), (D141 - $B141) / $B141, "")</f>
        <v>-4.7543581616481777E-2</v>
      </c>
      <c r="F141" s="18">
        <f>IF(ISNUMBER(D141), $B145 * E141, "")</f>
        <v>-7131.5372424722664</v>
      </c>
      <c r="G141" s="31">
        <v>62.1</v>
      </c>
      <c r="H141" s="32">
        <f t="shared" ref="H141:H144" si="75">IF(ISNUMBER(G141), (G141 - $B141) / $B141, "")</f>
        <v>-1.5847860538827259E-2</v>
      </c>
      <c r="I141" s="97">
        <f>IF(ISNUMBER(G141), $B145 * H141, "")</f>
        <v>-2377.1790808240889</v>
      </c>
      <c r="J141" s="15">
        <v>63.8</v>
      </c>
      <c r="K141" s="32">
        <f t="shared" ref="K141:K144" si="76">IF(ISNUMBER(J141), (J141 - $B141) / $B141, "")</f>
        <v>1.1093502377179014E-2</v>
      </c>
      <c r="L141" s="18">
        <f>IF(ISNUMBER(J141), $B145 * K141, "")</f>
        <v>1664.0253565768521</v>
      </c>
      <c r="M141" s="31">
        <v>65.5</v>
      </c>
      <c r="N141" s="32">
        <f t="shared" ref="N141:N144" si="77">IF(ISNUMBER(M141), (M141 - $B141) / $B141, "")</f>
        <v>3.8034865293185394E-2</v>
      </c>
      <c r="O141" s="18">
        <f>IF(ISNUMBER(M141), $B145 * N141, "")</f>
        <v>5705.2297939778091</v>
      </c>
      <c r="Q141" s="275"/>
      <c r="R141" s="275"/>
      <c r="S141" s="275"/>
    </row>
    <row r="142" spans="1:19" ht="17.25" thickBot="1">
      <c r="A142" s="124"/>
      <c r="B142" s="125"/>
      <c r="C142" s="73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97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275"/>
      <c r="R142" s="275"/>
      <c r="S142" s="275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97"/>
      <c r="R143" s="298"/>
      <c r="S143" s="299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00"/>
      <c r="R144" s="301"/>
      <c r="S144" s="302"/>
    </row>
    <row r="145" spans="1:19" ht="17.25" thickBot="1">
      <c r="A145" s="131" t="s">
        <v>301</v>
      </c>
      <c r="B145" s="308">
        <f>$B$37</f>
        <v>150000</v>
      </c>
      <c r="C145" s="309"/>
      <c r="D145" s="26" t="s">
        <v>302</v>
      </c>
      <c r="E145" s="27">
        <f>IF(COUNT(E125:E144), SUM(E125:E144) / COUNT(E125:E144), 0)</f>
        <v>-5.3222116673736088E-2</v>
      </c>
      <c r="F145" s="28">
        <f>SUM(F125:F144)</f>
        <v>-135716.39751802705</v>
      </c>
      <c r="G145" s="26" t="s">
        <v>302</v>
      </c>
      <c r="H145" s="27">
        <f>IF(COUNT(H125:H144), SUM(H125:H144) / COUNT(H125:H144), 0)</f>
        <v>-2.5291649240085156E-2</v>
      </c>
      <c r="I145" s="28">
        <f>SUM(I125:I144)</f>
        <v>-64493.705562217161</v>
      </c>
      <c r="J145" s="26" t="s">
        <v>302</v>
      </c>
      <c r="K145" s="27">
        <f>IF(COUNT(K125:K144), SUM(K125:K144) / COUNT(K125:K144), 0)</f>
        <v>-3.8827939921505517E-2</v>
      </c>
      <c r="L145" s="28">
        <f>SUM(L125:L144)</f>
        <v>-99011.246799839064</v>
      </c>
      <c r="M145" s="26" t="s">
        <v>302</v>
      </c>
      <c r="N145" s="27">
        <f>IF(COUNT(N125:N144), SUM(N125:N144) / COUNT(N125:N144), 0)</f>
        <v>-1.0914905061413859E-2</v>
      </c>
      <c r="O145" s="28">
        <f>SUM(O125:O144)</f>
        <v>-27833.007906605329</v>
      </c>
      <c r="Q145" s="303"/>
      <c r="R145" s="304"/>
      <c r="S145" s="305"/>
    </row>
    <row r="147" spans="1:19" ht="17.25" thickBot="1"/>
    <row r="148" spans="1:19" ht="17.25" thickBot="1">
      <c r="A148" s="249" t="s">
        <v>289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1"/>
      <c r="Q148" s="270"/>
      <c r="R148" s="270"/>
      <c r="S148" s="270"/>
    </row>
    <row r="149" spans="1:19" ht="17.25" thickBot="1">
      <c r="A149" s="149" t="s">
        <v>298</v>
      </c>
      <c r="B149" s="249" t="s">
        <v>49</v>
      </c>
      <c r="C149" s="251"/>
      <c r="D149" s="249" t="s">
        <v>58</v>
      </c>
      <c r="E149" s="250"/>
      <c r="F149" s="251"/>
      <c r="G149" s="276">
        <f>_xlfn.IFNA(VLOOKUP(B149, 현재가테이블!$B$2:$D$200, 2, FALSE), "-")</f>
        <v>60874000</v>
      </c>
      <c r="H149" s="277"/>
      <c r="I149" s="278"/>
      <c r="J149" s="249" t="s">
        <v>59</v>
      </c>
      <c r="K149" s="250"/>
      <c r="L149" s="251"/>
      <c r="M149" s="279">
        <f>_xlfn.IFNA(VLOOKUP(B149, 현재가테이블!$B$2:$D$200, 3, FALSE), "-")</f>
        <v>-1.4936000099999999E-2</v>
      </c>
      <c r="N149" s="280"/>
      <c r="O149" s="281"/>
      <c r="Q149" s="270"/>
      <c r="R149" s="270"/>
      <c r="S149" s="270"/>
    </row>
    <row r="150" spans="1:19" ht="17.25" thickBot="1">
      <c r="A150" s="310" t="s">
        <v>55</v>
      </c>
      <c r="B150" s="312" t="str">
        <f>TEXT($G$1, "[$-ko-KR]yyyy-mm-dd(ddd) ") &amp; "오전 00:00"</f>
        <v>2021-05-05(수) 오전 00:00</v>
      </c>
      <c r="C150" s="313"/>
      <c r="D150" s="272" t="str">
        <f>TEXT($G$1, "[$-ko-KR]yyyy-mm-dd(ddd) ") &amp; "오후 14:00"</f>
        <v>2021-05-05(수) 오후 14:00</v>
      </c>
      <c r="E150" s="273"/>
      <c r="F150" s="274"/>
      <c r="G150" s="272" t="str">
        <f>TEXT($G$1, "[$-ko-KR]yyyy-mm-dd(ddd) ") &amp; "오후 19:00"</f>
        <v>2021-05-05(수) 오후 19:00</v>
      </c>
      <c r="H150" s="273"/>
      <c r="I150" s="274"/>
      <c r="J150" s="272" t="str">
        <f>TEXT($G$1, "[$-ko-KR]yyyy-mm-dd(ddd) ") &amp; "오후 21:00"</f>
        <v>2021-05-05(수) 오후 21:00</v>
      </c>
      <c r="K150" s="273"/>
      <c r="L150" s="274"/>
      <c r="M150" s="272" t="str">
        <f>TEXT($G$1+1, "[$-ko-KR]yyyy-mm-dd(ddd) ") &amp; "오전 00:00"</f>
        <v>2021-05-06(목) 오전 00:00</v>
      </c>
      <c r="N150" s="273"/>
      <c r="O150" s="274"/>
      <c r="Q150" s="270"/>
      <c r="R150" s="270"/>
      <c r="S150" s="270"/>
    </row>
    <row r="151" spans="1:19" ht="17.25" thickBot="1">
      <c r="A151" s="311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52" t="s">
        <v>58</v>
      </c>
      <c r="H151" s="153" t="s">
        <v>299</v>
      </c>
      <c r="I151" s="15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75"/>
      <c r="R151" s="275"/>
      <c r="S151" s="275"/>
    </row>
    <row r="152" spans="1:19" ht="17.25" thickBot="1">
      <c r="A152" s="122" t="s">
        <v>182</v>
      </c>
      <c r="B152" s="123">
        <v>469</v>
      </c>
      <c r="C152" s="72">
        <v>-8.0392156899999997E-2</v>
      </c>
      <c r="D152" s="13">
        <v>461</v>
      </c>
      <c r="E152" s="14">
        <f>IF(ISNUMBER(D152), (D152 - $B152) / $B152, "")</f>
        <v>-1.7057569296375266E-2</v>
      </c>
      <c r="F152" s="16">
        <f>IF(ISNUMBER(D152), $B172 * E152, "")</f>
        <v>-2558.6353944562898</v>
      </c>
      <c r="G152" s="29">
        <v>463</v>
      </c>
      <c r="H152" s="14">
        <f>IF(ISNUMBER(G152), (G152 - $B152) / $B152, "")</f>
        <v>-1.279317697228145E-2</v>
      </c>
      <c r="I152" s="96">
        <f>IF(ISNUMBER(G152), $B172 * H152, "")</f>
        <v>-1918.9765458422175</v>
      </c>
      <c r="J152" s="13">
        <v>461</v>
      </c>
      <c r="K152" s="14">
        <f>IF(ISNUMBER(J152), (J152 - $B152) / $B152, "")</f>
        <v>-1.7057569296375266E-2</v>
      </c>
      <c r="L152" s="16">
        <f>IF(ISNUMBER(J152), $B172 * K152, "")</f>
        <v>-2558.6353944562898</v>
      </c>
      <c r="M152" s="29">
        <v>468</v>
      </c>
      <c r="N152" s="14">
        <f>IF(ISNUMBER(M152), (M152 - $B152) / $B152, "")</f>
        <v>-2.1321961620469083E-3</v>
      </c>
      <c r="O152" s="16">
        <f>IF(ISNUMBER(M152), $B172 * N152, "")</f>
        <v>-319.82942430703622</v>
      </c>
      <c r="Q152" s="270"/>
      <c r="R152" s="270"/>
      <c r="S152" s="270"/>
    </row>
    <row r="153" spans="1:19" ht="17.25" thickBot="1">
      <c r="A153" s="124" t="s">
        <v>174</v>
      </c>
      <c r="B153" s="125">
        <v>284</v>
      </c>
      <c r="C153" s="73">
        <v>-8.0906148900000002E-2</v>
      </c>
      <c r="D153" s="15">
        <v>272</v>
      </c>
      <c r="E153" s="32">
        <f t="shared" ref="E153:E156" si="78">IF(ISNUMBER(D153), (D153 - $B153) / $B153, "")</f>
        <v>-4.2253521126760563E-2</v>
      </c>
      <c r="F153" s="18">
        <f>IF(ISNUMBER(D153), $B172 * E153, "")</f>
        <v>-6338.0281690140846</v>
      </c>
      <c r="G153" s="31">
        <v>276</v>
      </c>
      <c r="H153" s="32">
        <f t="shared" ref="H153:H156" si="79">IF(ISNUMBER(G153), (G153 - $B153) / $B153, "")</f>
        <v>-2.8169014084507043E-2</v>
      </c>
      <c r="I153" s="97">
        <f>IF(ISNUMBER(G153), $B172 * H153, "")</f>
        <v>-4225.3521126760561</v>
      </c>
      <c r="J153" s="15">
        <v>272</v>
      </c>
      <c r="K153" s="32">
        <f t="shared" ref="K153:K156" si="80">IF(ISNUMBER(J153), (J153 - $B153) / $B153, "")</f>
        <v>-4.2253521126760563E-2</v>
      </c>
      <c r="L153" s="18">
        <f>IF(ISNUMBER(J153), $B172 * K153, "")</f>
        <v>-6338.0281690140846</v>
      </c>
      <c r="M153" s="31">
        <v>276</v>
      </c>
      <c r="N153" s="32">
        <f t="shared" ref="N153:N156" si="81">IF(ISNUMBER(M153), (M153 - $B153) / $B153, "")</f>
        <v>-2.8169014084507043E-2</v>
      </c>
      <c r="O153" s="18">
        <f>IF(ISNUMBER(M153), $B172 * N153, "")</f>
        <v>-4225.3521126760561</v>
      </c>
      <c r="Q153" s="270"/>
      <c r="R153" s="270"/>
      <c r="S153" s="270"/>
    </row>
    <row r="154" spans="1:19" ht="17.25" thickBot="1">
      <c r="A154" s="124" t="s">
        <v>168</v>
      </c>
      <c r="B154" s="125">
        <v>204</v>
      </c>
      <c r="C154" s="73">
        <v>-8.1081081099999994E-2</v>
      </c>
      <c r="D154" s="15">
        <v>204</v>
      </c>
      <c r="E154" s="32">
        <f t="shared" si="78"/>
        <v>0</v>
      </c>
      <c r="F154" s="18">
        <f>IF(ISNUMBER(D154), $B172 * E154, "")</f>
        <v>0</v>
      </c>
      <c r="G154" s="31">
        <v>205</v>
      </c>
      <c r="H154" s="32">
        <f t="shared" si="79"/>
        <v>4.9019607843137254E-3</v>
      </c>
      <c r="I154" s="97">
        <f>IF(ISNUMBER(G154), $B172 * H154, "")</f>
        <v>735.29411764705878</v>
      </c>
      <c r="J154" s="15">
        <v>208</v>
      </c>
      <c r="K154" s="32">
        <f t="shared" si="80"/>
        <v>1.9607843137254902E-2</v>
      </c>
      <c r="L154" s="18">
        <f>IF(ISNUMBER(J154), $B172 * K154, "")</f>
        <v>2941.1764705882351</v>
      </c>
      <c r="M154" s="31">
        <v>210</v>
      </c>
      <c r="N154" s="32">
        <f t="shared" si="81"/>
        <v>2.9411764705882353E-2</v>
      </c>
      <c r="O154" s="18">
        <f>IF(ISNUMBER(M154), $B172 * N154, "")</f>
        <v>4411.7647058823532</v>
      </c>
      <c r="Q154" s="275"/>
      <c r="R154" s="275"/>
      <c r="S154" s="275"/>
    </row>
    <row r="155" spans="1:19" ht="17.25" thickBot="1">
      <c r="A155" s="124" t="s">
        <v>122</v>
      </c>
      <c r="B155" s="125">
        <v>124</v>
      </c>
      <c r="C155" s="73">
        <v>-8.1481481499999994E-2</v>
      </c>
      <c r="D155" s="15">
        <v>114</v>
      </c>
      <c r="E155" s="32">
        <f t="shared" si="78"/>
        <v>-8.0645161290322578E-2</v>
      </c>
      <c r="F155" s="18">
        <f>IF(ISNUMBER(D155), $B172 * E155, "")</f>
        <v>-12096.774193548386</v>
      </c>
      <c r="G155" s="31">
        <v>116</v>
      </c>
      <c r="H155" s="32">
        <f t="shared" si="79"/>
        <v>-6.4516129032258063E-2</v>
      </c>
      <c r="I155" s="97">
        <f>IF(ISNUMBER(G155), $B172 * H155, "")</f>
        <v>-9677.4193548387102</v>
      </c>
      <c r="J155" s="15">
        <v>114</v>
      </c>
      <c r="K155" s="32">
        <f t="shared" si="80"/>
        <v>-8.0645161290322578E-2</v>
      </c>
      <c r="L155" s="18">
        <f>IF(ISNUMBER(J155), $B172 * K155, "")</f>
        <v>-12096.774193548386</v>
      </c>
      <c r="M155" s="31">
        <v>116</v>
      </c>
      <c r="N155" s="32">
        <f t="shared" si="81"/>
        <v>-6.4516129032258063E-2</v>
      </c>
      <c r="O155" s="18">
        <f>IF(ISNUMBER(M155), $B172 * N155, "")</f>
        <v>-9677.4193548387102</v>
      </c>
      <c r="Q155" s="275"/>
      <c r="R155" s="275"/>
      <c r="S155" s="275"/>
    </row>
    <row r="156" spans="1:19" ht="17.25" thickBot="1">
      <c r="A156" s="126" t="s">
        <v>258</v>
      </c>
      <c r="B156" s="127">
        <v>747</v>
      </c>
      <c r="C156" s="74">
        <v>-8.2309582300000003E-2</v>
      </c>
      <c r="D156" s="20">
        <v>716</v>
      </c>
      <c r="E156" s="21">
        <f t="shared" si="78"/>
        <v>-4.1499330655957165E-2</v>
      </c>
      <c r="F156" s="22">
        <f>IF(ISNUMBER(D156), $B172 * E156, "")</f>
        <v>-6224.8995983935747</v>
      </c>
      <c r="G156" s="30">
        <v>718</v>
      </c>
      <c r="H156" s="21">
        <f t="shared" si="79"/>
        <v>-3.8821954484605084E-2</v>
      </c>
      <c r="I156" s="101">
        <f>IF(ISNUMBER(G156), $B172 * H156, "")</f>
        <v>-5823.2931726907627</v>
      </c>
      <c r="J156" s="20">
        <v>715</v>
      </c>
      <c r="K156" s="21">
        <f t="shared" si="80"/>
        <v>-4.2838018741633198E-2</v>
      </c>
      <c r="L156" s="22">
        <f>IF(ISNUMBER(J156), $B172 * K156, "")</f>
        <v>-6425.7028112449798</v>
      </c>
      <c r="M156" s="30">
        <v>720</v>
      </c>
      <c r="N156" s="21">
        <f t="shared" si="81"/>
        <v>-3.614457831325301E-2</v>
      </c>
      <c r="O156" s="22">
        <f>IF(ISNUMBER(M156), $B172 * N156, "")</f>
        <v>-5421.6867469879517</v>
      </c>
      <c r="Q156" s="275"/>
      <c r="R156" s="275"/>
      <c r="S156" s="275"/>
    </row>
    <row r="157" spans="1:19" ht="17.25" thickBot="1">
      <c r="A157" s="124" t="s">
        <v>170</v>
      </c>
      <c r="B157" s="128">
        <v>519</v>
      </c>
      <c r="C157" s="76">
        <v>-8.3038869299999998E-2</v>
      </c>
      <c r="D157" s="102">
        <v>503</v>
      </c>
      <c r="E157" s="103">
        <f>IF(ISNUMBER(D157), (D157 - $B157) / $B157, "")</f>
        <v>-3.0828516377649325E-2</v>
      </c>
      <c r="F157" s="104">
        <f>IF(ISNUMBER(D157), $B172 * E157, "")</f>
        <v>-4624.277456647399</v>
      </c>
      <c r="G157" s="105">
        <v>507</v>
      </c>
      <c r="H157" s="103">
        <f>IF(ISNUMBER(G157), (G157 - $B157) / $B157, "")</f>
        <v>-2.3121387283236993E-2</v>
      </c>
      <c r="I157" s="106">
        <f>IF(ISNUMBER(G157), $B172 * H157, "")</f>
        <v>-3468.2080924855491</v>
      </c>
      <c r="J157" s="102">
        <v>500</v>
      </c>
      <c r="K157" s="103">
        <f>IF(ISNUMBER(J157), (J157 - $B157) / $B157, "")</f>
        <v>-3.6608863198458574E-2</v>
      </c>
      <c r="L157" s="104">
        <f>IF(ISNUMBER(J157), $B172 * K157, "")</f>
        <v>-5491.3294797687859</v>
      </c>
      <c r="M157" s="105">
        <v>507</v>
      </c>
      <c r="N157" s="103">
        <f>IF(ISNUMBER(M157), (M157 - $B157) / $B157, "")</f>
        <v>-2.3121387283236993E-2</v>
      </c>
      <c r="O157" s="104">
        <f>IF(ISNUMBER(M157), $B172 * N157, "")</f>
        <v>-3468.2080924855491</v>
      </c>
      <c r="Q157" s="275"/>
      <c r="R157" s="275"/>
      <c r="S157" s="275"/>
    </row>
    <row r="158" spans="1:19" ht="17.25" thickBot="1">
      <c r="A158" s="124" t="s">
        <v>232</v>
      </c>
      <c r="B158" s="125">
        <v>185</v>
      </c>
      <c r="C158" s="73">
        <v>-8.4158415799999997E-2</v>
      </c>
      <c r="D158" s="15">
        <v>172</v>
      </c>
      <c r="E158" s="32">
        <f t="shared" ref="E158:E161" si="82">IF(ISNUMBER(D158), (D158 - $B158) / $B158, "")</f>
        <v>-7.0270270270270274E-2</v>
      </c>
      <c r="F158" s="18">
        <f>IF(ISNUMBER(D158), $B172 * E158, "")</f>
        <v>-10540.540540540542</v>
      </c>
      <c r="G158" s="31">
        <v>174</v>
      </c>
      <c r="H158" s="32">
        <f t="shared" ref="H158:H161" si="83">IF(ISNUMBER(G158), (G158 - $B158) / $B158, "")</f>
        <v>-5.9459459459459463E-2</v>
      </c>
      <c r="I158" s="97">
        <f>IF(ISNUMBER(G158), $B172 * H158, "")</f>
        <v>-8918.9189189189201</v>
      </c>
      <c r="J158" s="15">
        <v>171</v>
      </c>
      <c r="K158" s="32">
        <f t="shared" ref="K158:K161" si="84">IF(ISNUMBER(J158), (J158 - $B158) / $B158, "")</f>
        <v>-7.567567567567568E-2</v>
      </c>
      <c r="L158" s="18">
        <f>IF(ISNUMBER(J158), $B172 * K158, "")</f>
        <v>-11351.351351351352</v>
      </c>
      <c r="M158" s="31">
        <v>173</v>
      </c>
      <c r="N158" s="32">
        <f t="shared" ref="N158:N161" si="85">IF(ISNUMBER(M158), (M158 - $B158) / $B158, "")</f>
        <v>-6.4864864864864868E-2</v>
      </c>
      <c r="O158" s="18">
        <f>IF(ISNUMBER(M158), $B172 * N158, "")</f>
        <v>-9729.72972972973</v>
      </c>
      <c r="Q158" s="275"/>
      <c r="R158" s="275"/>
      <c r="S158" s="275"/>
    </row>
    <row r="159" spans="1:19" ht="17.25" thickBot="1">
      <c r="A159" s="124" t="s">
        <v>216</v>
      </c>
      <c r="B159" s="125">
        <v>457</v>
      </c>
      <c r="C159" s="73">
        <v>-8.4168336699999999E-2</v>
      </c>
      <c r="D159" s="15">
        <v>440</v>
      </c>
      <c r="E159" s="32">
        <f t="shared" si="82"/>
        <v>-3.7199124726477024E-2</v>
      </c>
      <c r="F159" s="18">
        <f>IF(ISNUMBER(D159), $B172 * E159, "")</f>
        <v>-5579.868708971554</v>
      </c>
      <c r="G159" s="31">
        <v>445</v>
      </c>
      <c r="H159" s="32">
        <f t="shared" si="83"/>
        <v>-2.6258205689277898E-2</v>
      </c>
      <c r="I159" s="97">
        <f>IF(ISNUMBER(G159), $B172 * H159, "")</f>
        <v>-3938.7308533916848</v>
      </c>
      <c r="J159" s="15">
        <v>437</v>
      </c>
      <c r="K159" s="32">
        <f t="shared" si="84"/>
        <v>-4.3763676148796497E-2</v>
      </c>
      <c r="L159" s="18">
        <f>IF(ISNUMBER(J159), $B172 * K159, "")</f>
        <v>-6564.551422319475</v>
      </c>
      <c r="M159" s="31">
        <v>449</v>
      </c>
      <c r="N159" s="32">
        <f t="shared" si="85"/>
        <v>-1.7505470459518599E-2</v>
      </c>
      <c r="O159" s="18">
        <f>IF(ISNUMBER(M159), $B172 * N159, "")</f>
        <v>-2625.8205689277897</v>
      </c>
      <c r="Q159" s="275"/>
      <c r="R159" s="275"/>
      <c r="S159" s="275"/>
    </row>
    <row r="160" spans="1:19" ht="17.25" thickBot="1">
      <c r="A160" s="124" t="s">
        <v>208</v>
      </c>
      <c r="B160" s="125">
        <v>511</v>
      </c>
      <c r="C160" s="73">
        <v>-8.4229390700000004E-2</v>
      </c>
      <c r="D160" s="15">
        <v>487</v>
      </c>
      <c r="E160" s="32">
        <f t="shared" si="82"/>
        <v>-4.6966731898238745E-2</v>
      </c>
      <c r="F160" s="18">
        <f>IF(ISNUMBER(D160), $B172 * E160, "")</f>
        <v>-7045.009784735812</v>
      </c>
      <c r="G160" s="31">
        <v>500</v>
      </c>
      <c r="H160" s="32">
        <f t="shared" si="83"/>
        <v>-2.1526418786692758E-2</v>
      </c>
      <c r="I160" s="97">
        <f>IF(ISNUMBER(G160), $B172 * H160, "")</f>
        <v>-3228.9628180039135</v>
      </c>
      <c r="J160" s="15">
        <v>491</v>
      </c>
      <c r="K160" s="32">
        <f t="shared" si="84"/>
        <v>-3.9138943248532287E-2</v>
      </c>
      <c r="L160" s="18">
        <f>IF(ISNUMBER(J160), $B172 * K160, "")</f>
        <v>-5870.841487279843</v>
      </c>
      <c r="M160" s="31">
        <v>494</v>
      </c>
      <c r="N160" s="32">
        <f t="shared" si="85"/>
        <v>-3.3268101761252444E-2</v>
      </c>
      <c r="O160" s="18">
        <f>IF(ISNUMBER(M160), $B172 * N160, "")</f>
        <v>-4990.2152641878665</v>
      </c>
      <c r="Q160" s="33"/>
      <c r="R160" s="33"/>
    </row>
    <row r="161" spans="1:19" ht="17.25" thickBot="1">
      <c r="A161" s="129" t="s">
        <v>226</v>
      </c>
      <c r="B161" s="130">
        <v>521</v>
      </c>
      <c r="C161" s="75">
        <v>-8.4358523699999993E-2</v>
      </c>
      <c r="D161" s="24">
        <v>503</v>
      </c>
      <c r="E161" s="25">
        <f t="shared" si="82"/>
        <v>-3.4548944337811902E-2</v>
      </c>
      <c r="F161" s="100">
        <f>IF(ISNUMBER(D161), $B172 * E161, "")</f>
        <v>-5182.3416506717849</v>
      </c>
      <c r="G161" s="98">
        <v>504</v>
      </c>
      <c r="H161" s="25">
        <f t="shared" si="83"/>
        <v>-3.2629558541266791E-2</v>
      </c>
      <c r="I161" s="99">
        <f>IF(ISNUMBER(G161), $B172 * H161, "")</f>
        <v>-4894.4337811900186</v>
      </c>
      <c r="J161" s="24">
        <v>500</v>
      </c>
      <c r="K161" s="25">
        <f t="shared" si="84"/>
        <v>-4.0307101727447218E-2</v>
      </c>
      <c r="L161" s="100">
        <f>IF(ISNUMBER(J161), $B172 * K161, "")</f>
        <v>-6046.0652591170829</v>
      </c>
      <c r="M161" s="98">
        <v>502</v>
      </c>
      <c r="N161" s="25">
        <f t="shared" si="85"/>
        <v>-3.6468330134357005E-2</v>
      </c>
      <c r="O161" s="100">
        <f>IF(ISNUMBER(M161), $B172 * N161, "")</f>
        <v>-5470.2495201535503</v>
      </c>
      <c r="Q161" s="284"/>
      <c r="R161" s="285"/>
      <c r="S161" s="286"/>
    </row>
    <row r="162" spans="1:19">
      <c r="A162" s="122" t="s">
        <v>260</v>
      </c>
      <c r="B162" s="123">
        <v>129</v>
      </c>
      <c r="C162" s="72">
        <v>-8.5106382999999994E-2</v>
      </c>
      <c r="D162" s="13">
        <v>120</v>
      </c>
      <c r="E162" s="14">
        <f>IF(ISNUMBER(D162), (D162 - $B162) / $B162, "")</f>
        <v>-6.9767441860465115E-2</v>
      </c>
      <c r="F162" s="16">
        <f>IF(ISNUMBER(D162), $B172 * E162, "")</f>
        <v>-10465.116279069767</v>
      </c>
      <c r="G162" s="29">
        <v>122</v>
      </c>
      <c r="H162" s="14">
        <f>IF(ISNUMBER(G162), (G162 - $B162) / $B162, "")</f>
        <v>-5.4263565891472867E-2</v>
      </c>
      <c r="I162" s="96">
        <f>IF(ISNUMBER(G162), $B172 * H162, "")</f>
        <v>-8139.5348837209303</v>
      </c>
      <c r="J162" s="13">
        <v>119</v>
      </c>
      <c r="K162" s="14">
        <f>IF(ISNUMBER(J162), (J162 - $B162) / $B162, "")</f>
        <v>-7.7519379844961239E-2</v>
      </c>
      <c r="L162" s="16">
        <f>IF(ISNUMBER(J162), $B172 * K162, "")</f>
        <v>-11627.906976744185</v>
      </c>
      <c r="M162" s="29">
        <v>122</v>
      </c>
      <c r="N162" s="14">
        <f>IF(ISNUMBER(M162), (M162 - $B162) / $B162, "")</f>
        <v>-5.4263565891472867E-2</v>
      </c>
      <c r="O162" s="16">
        <f>IF(ISNUMBER(M162), $B172 * N162, "")</f>
        <v>-8139.5348837209303</v>
      </c>
      <c r="Q162" s="287"/>
      <c r="R162" s="288"/>
      <c r="S162" s="289"/>
    </row>
    <row r="163" spans="1:19" ht="17.25" thickBot="1">
      <c r="A163" s="124" t="s">
        <v>250</v>
      </c>
      <c r="B163" s="125">
        <v>224</v>
      </c>
      <c r="C163" s="73">
        <v>-8.5714285700000004E-2</v>
      </c>
      <c r="D163" s="15">
        <v>210</v>
      </c>
      <c r="E163" s="32">
        <f t="shared" ref="E163:E166" si="86">IF(ISNUMBER(D163), (D163 - $B163) / $B163, "")</f>
        <v>-6.25E-2</v>
      </c>
      <c r="F163" s="18">
        <f>IF(ISNUMBER(D163), $B172 * E163, "")</f>
        <v>-9375</v>
      </c>
      <c r="G163" s="31">
        <v>216</v>
      </c>
      <c r="H163" s="32">
        <f t="shared" ref="H163:H166" si="87">IF(ISNUMBER(G163), (G163 - $B163) / $B163, "")</f>
        <v>-3.5714285714285712E-2</v>
      </c>
      <c r="I163" s="97">
        <f>IF(ISNUMBER(G163), $B172 * H163, "")</f>
        <v>-5357.1428571428569</v>
      </c>
      <c r="J163" s="15">
        <v>212</v>
      </c>
      <c r="K163" s="32">
        <f t="shared" ref="K163:K166" si="88">IF(ISNUMBER(J163), (J163 - $B163) / $B163, "")</f>
        <v>-5.3571428571428568E-2</v>
      </c>
      <c r="L163" s="18">
        <f>IF(ISNUMBER(J163), $B172 * K163, "")</f>
        <v>-8035.7142857142853</v>
      </c>
      <c r="M163" s="31">
        <v>216</v>
      </c>
      <c r="N163" s="32">
        <f t="shared" ref="N163:N166" si="89">IF(ISNUMBER(M163), (M163 - $B163) / $B163, "")</f>
        <v>-3.5714285714285712E-2</v>
      </c>
      <c r="O163" s="18">
        <f>IF(ISNUMBER(M163), $B172 * N163, "")</f>
        <v>-5357.1428571428569</v>
      </c>
      <c r="Q163" s="290"/>
      <c r="R163" s="291"/>
      <c r="S163" s="292"/>
    </row>
    <row r="164" spans="1:19" ht="17.25" thickBot="1">
      <c r="A164" s="124" t="s">
        <v>264</v>
      </c>
      <c r="B164" s="125">
        <v>179</v>
      </c>
      <c r="C164" s="73">
        <v>-8.6734693900000007E-2</v>
      </c>
      <c r="D164" s="15">
        <v>171</v>
      </c>
      <c r="E164" s="32">
        <f t="shared" si="86"/>
        <v>-4.4692737430167599E-2</v>
      </c>
      <c r="F164" s="18">
        <f>IF(ISNUMBER(D164), $B172 * E164, "")</f>
        <v>-6703.9106145251399</v>
      </c>
      <c r="G164" s="31">
        <v>174</v>
      </c>
      <c r="H164" s="32">
        <f t="shared" si="87"/>
        <v>-2.7932960893854747E-2</v>
      </c>
      <c r="I164" s="97">
        <f>IF(ISNUMBER(G164), $B172 * H164, "")</f>
        <v>-4189.9441340782123</v>
      </c>
      <c r="J164" s="15">
        <v>171</v>
      </c>
      <c r="K164" s="32">
        <f t="shared" si="88"/>
        <v>-4.4692737430167599E-2</v>
      </c>
      <c r="L164" s="18">
        <f>IF(ISNUMBER(J164), $B172 * K164, "")</f>
        <v>-6703.9106145251399</v>
      </c>
      <c r="M164" s="31">
        <v>173</v>
      </c>
      <c r="N164" s="32">
        <f t="shared" si="89"/>
        <v>-3.3519553072625698E-2</v>
      </c>
      <c r="O164" s="18">
        <f>IF(ISNUMBER(M164), $B172 * N164, "")</f>
        <v>-5027.9329608938542</v>
      </c>
      <c r="Q164" s="275"/>
      <c r="R164" s="275"/>
      <c r="S164" s="275"/>
    </row>
    <row r="165" spans="1:19" ht="17.25" thickBot="1">
      <c r="A165" s="124" t="s">
        <v>240</v>
      </c>
      <c r="B165" s="125">
        <v>196</v>
      </c>
      <c r="C165" s="73">
        <v>-8.8372092999999999E-2</v>
      </c>
      <c r="D165" s="15">
        <v>184</v>
      </c>
      <c r="E165" s="32">
        <f t="shared" si="86"/>
        <v>-6.1224489795918366E-2</v>
      </c>
      <c r="F165" s="18">
        <f>IF(ISNUMBER(D165), $B172 * E165, "")</f>
        <v>-9183.6734693877552</v>
      </c>
      <c r="G165" s="31">
        <v>190</v>
      </c>
      <c r="H165" s="32">
        <f t="shared" si="87"/>
        <v>-3.0612244897959183E-2</v>
      </c>
      <c r="I165" s="97">
        <f>IF(ISNUMBER(G165), $B172 * H165, "")</f>
        <v>-4591.8367346938776</v>
      </c>
      <c r="J165" s="15">
        <v>183</v>
      </c>
      <c r="K165" s="32">
        <f t="shared" si="88"/>
        <v>-6.6326530612244902E-2</v>
      </c>
      <c r="L165" s="18">
        <f>IF(ISNUMBER(J165), $B172 * K165, "")</f>
        <v>-9948.9795918367345</v>
      </c>
      <c r="M165" s="31">
        <v>188</v>
      </c>
      <c r="N165" s="32">
        <f t="shared" si="89"/>
        <v>-4.0816326530612242E-2</v>
      </c>
      <c r="O165" s="18">
        <f>IF(ISNUMBER(M165), $B172 * N165, "")</f>
        <v>-6122.4489795918362</v>
      </c>
      <c r="Q165" s="270"/>
      <c r="R165" s="270"/>
      <c r="S165" s="270"/>
    </row>
    <row r="166" spans="1:19" ht="17.25" thickBot="1">
      <c r="A166" s="126" t="s">
        <v>112</v>
      </c>
      <c r="B166" s="127">
        <v>264</v>
      </c>
      <c r="C166" s="74">
        <v>-8.9655172399999997E-2</v>
      </c>
      <c r="D166" s="20">
        <v>252</v>
      </c>
      <c r="E166" s="21">
        <f t="shared" si="86"/>
        <v>-4.5454545454545456E-2</v>
      </c>
      <c r="F166" s="22">
        <f>IF(ISNUMBER(D166), $B172 * E166, "")</f>
        <v>-6818.181818181818</v>
      </c>
      <c r="G166" s="30">
        <v>256</v>
      </c>
      <c r="H166" s="21">
        <f t="shared" si="87"/>
        <v>-3.0303030303030304E-2</v>
      </c>
      <c r="I166" s="101">
        <f>IF(ISNUMBER(G166), $B172 * H166, "")</f>
        <v>-4545.454545454546</v>
      </c>
      <c r="J166" s="20">
        <v>252</v>
      </c>
      <c r="K166" s="21">
        <f t="shared" si="88"/>
        <v>-4.5454545454545456E-2</v>
      </c>
      <c r="L166" s="22">
        <f>IF(ISNUMBER(J166), $B172 * K166, "")</f>
        <v>-6818.181818181818</v>
      </c>
      <c r="M166" s="30">
        <v>256</v>
      </c>
      <c r="N166" s="21">
        <f t="shared" si="89"/>
        <v>-3.0303030303030304E-2</v>
      </c>
      <c r="O166" s="22">
        <f>IF(ISNUMBER(M166), $B172 * N166, "")</f>
        <v>-4545.454545454546</v>
      </c>
      <c r="Q166" s="270"/>
      <c r="R166" s="270"/>
      <c r="S166" s="270"/>
    </row>
    <row r="167" spans="1:19" ht="17.25" thickBot="1">
      <c r="A167" s="124" t="s">
        <v>54</v>
      </c>
      <c r="B167" s="128">
        <v>364</v>
      </c>
      <c r="C167" s="76">
        <v>-0.09</v>
      </c>
      <c r="D167" s="102">
        <v>360</v>
      </c>
      <c r="E167" s="103">
        <f>IF(ISNUMBER(D167), (D167 - $B167) / $B167, "")</f>
        <v>-1.098901098901099E-2</v>
      </c>
      <c r="F167" s="104">
        <f>IF(ISNUMBER(D167), $B172 * E167, "")</f>
        <v>-1648.3516483516485</v>
      </c>
      <c r="G167" s="105">
        <v>364</v>
      </c>
      <c r="H167" s="103">
        <f>IF(ISNUMBER(G167), (G167 - $B167) / $B167, "")</f>
        <v>0</v>
      </c>
      <c r="I167" s="106">
        <f>IF(ISNUMBER(G167), $B172 * H167, "")</f>
        <v>0</v>
      </c>
      <c r="J167" s="102">
        <v>363</v>
      </c>
      <c r="K167" s="103">
        <f>IF(ISNUMBER(J167), (J167 - $B167) / $B167, "")</f>
        <v>-2.7472527472527475E-3</v>
      </c>
      <c r="L167" s="104">
        <f>IF(ISNUMBER(J167), $B172 * K167, "")</f>
        <v>-412.08791208791212</v>
      </c>
      <c r="M167" s="105">
        <v>378</v>
      </c>
      <c r="N167" s="103">
        <f>IF(ISNUMBER(M167), (M167 - $B167) / $B167, "")</f>
        <v>3.8461538461538464E-2</v>
      </c>
      <c r="O167" s="104">
        <f>IF(ISNUMBER(M167), $B172 * N167, "")</f>
        <v>5769.2307692307695</v>
      </c>
      <c r="Q167" s="275"/>
      <c r="R167" s="275"/>
      <c r="S167" s="275"/>
    </row>
    <row r="168" spans="1:19" ht="17.25" thickBot="1">
      <c r="A168" s="124" t="s">
        <v>202</v>
      </c>
      <c r="B168" s="125">
        <v>226</v>
      </c>
      <c r="C168" s="73">
        <v>-9.2369477899999997E-2</v>
      </c>
      <c r="D168" s="15">
        <v>213</v>
      </c>
      <c r="E168" s="32">
        <f t="shared" ref="E168:E171" si="90">IF(ISNUMBER(D168), (D168 - $B168) / $B168, "")</f>
        <v>-5.7522123893805309E-2</v>
      </c>
      <c r="F168" s="18">
        <f>IF(ISNUMBER(D168), $B172 * E168, "")</f>
        <v>-8628.3185840707956</v>
      </c>
      <c r="G168" s="31">
        <v>214</v>
      </c>
      <c r="H168" s="32">
        <f t="shared" ref="H168:H171" si="91">IF(ISNUMBER(G168), (G168 - $B168) / $B168, "")</f>
        <v>-5.3097345132743362E-2</v>
      </c>
      <c r="I168" s="97">
        <f>IF(ISNUMBER(G168), $B172 * H168, "")</f>
        <v>-7964.6017699115046</v>
      </c>
      <c r="J168" s="15">
        <v>209</v>
      </c>
      <c r="K168" s="32">
        <f t="shared" ref="K168:K171" si="92">IF(ISNUMBER(J168), (J168 - $B168) / $B168, "")</f>
        <v>-7.5221238938053103E-2</v>
      </c>
      <c r="L168" s="18">
        <f>IF(ISNUMBER(J168), $B172 * K168, "")</f>
        <v>-11283.185840707965</v>
      </c>
      <c r="M168" s="31">
        <v>215</v>
      </c>
      <c r="N168" s="32">
        <f t="shared" ref="N168:N171" si="93">IF(ISNUMBER(M168), (M168 - $B168) / $B168, "")</f>
        <v>-4.8672566371681415E-2</v>
      </c>
      <c r="O168" s="18">
        <f>IF(ISNUMBER(M168), $B172 * N168, "")</f>
        <v>-7300.8849557522126</v>
      </c>
      <c r="Q168" s="275"/>
      <c r="R168" s="275"/>
      <c r="S168" s="275"/>
    </row>
    <row r="169" spans="1:19" ht="17.25" thickBot="1">
      <c r="A169" s="124" t="s">
        <v>230</v>
      </c>
      <c r="B169" s="125">
        <v>185</v>
      </c>
      <c r="C169" s="73">
        <v>-9.3137254899999994E-2</v>
      </c>
      <c r="D169" s="15">
        <v>173</v>
      </c>
      <c r="E169" s="32">
        <f t="shared" si="90"/>
        <v>-6.4864864864864868E-2</v>
      </c>
      <c r="F169" s="18">
        <f>IF(ISNUMBER(D169), $B172 * E169, "")</f>
        <v>-9729.72972972973</v>
      </c>
      <c r="G169" s="31">
        <v>176</v>
      </c>
      <c r="H169" s="32">
        <f t="shared" si="91"/>
        <v>-4.8648648648648651E-2</v>
      </c>
      <c r="I169" s="97">
        <f>IF(ISNUMBER(G169), $B172 * H169, "")</f>
        <v>-7297.2972972972975</v>
      </c>
      <c r="J169" s="15">
        <v>174</v>
      </c>
      <c r="K169" s="32">
        <f t="shared" si="92"/>
        <v>-5.9459459459459463E-2</v>
      </c>
      <c r="L169" s="18">
        <f>IF(ISNUMBER(J169), $B172 * K169, "")</f>
        <v>-8918.9189189189201</v>
      </c>
      <c r="M169" s="31">
        <v>177</v>
      </c>
      <c r="N169" s="32">
        <f t="shared" si="93"/>
        <v>-4.3243243243243246E-2</v>
      </c>
      <c r="O169" s="18">
        <f>IF(ISNUMBER(M169), $B172 * N169, "")</f>
        <v>-6486.4864864864867</v>
      </c>
      <c r="Q169" s="275"/>
      <c r="R169" s="275"/>
      <c r="S169" s="275"/>
    </row>
    <row r="170" spans="1:19">
      <c r="A170" s="124" t="s">
        <v>210</v>
      </c>
      <c r="B170" s="125">
        <v>203</v>
      </c>
      <c r="C170" s="73">
        <v>-9.375E-2</v>
      </c>
      <c r="D170" s="15">
        <v>190</v>
      </c>
      <c r="E170" s="32">
        <f t="shared" si="90"/>
        <v>-6.4039408866995079E-2</v>
      </c>
      <c r="F170" s="18">
        <f>IF(ISNUMBER(D170), $B172 * E170, "")</f>
        <v>-9605.9113300492627</v>
      </c>
      <c r="G170" s="31">
        <v>197</v>
      </c>
      <c r="H170" s="32">
        <f t="shared" si="91"/>
        <v>-2.9556650246305417E-2</v>
      </c>
      <c r="I170" s="97">
        <f>IF(ISNUMBER(G170), $B172 * H170, "")</f>
        <v>-4433.4975369458125</v>
      </c>
      <c r="J170" s="15">
        <v>192</v>
      </c>
      <c r="K170" s="32">
        <f t="shared" si="92"/>
        <v>-5.4187192118226604E-2</v>
      </c>
      <c r="L170" s="18">
        <f>IF(ISNUMBER(J170), $B172 * K170, "")</f>
        <v>-8128.0788177339909</v>
      </c>
      <c r="M170" s="31">
        <v>197</v>
      </c>
      <c r="N170" s="32">
        <f t="shared" si="93"/>
        <v>-2.9556650246305417E-2</v>
      </c>
      <c r="O170" s="18">
        <f>IF(ISNUMBER(M170), $B172 * N170, "")</f>
        <v>-4433.4975369458125</v>
      </c>
      <c r="Q170" s="297"/>
      <c r="R170" s="298"/>
      <c r="S170" s="299"/>
    </row>
    <row r="171" spans="1:19" ht="17.25" thickBot="1">
      <c r="A171" s="129" t="s">
        <v>212</v>
      </c>
      <c r="B171" s="130">
        <v>160</v>
      </c>
      <c r="C171" s="75">
        <v>-9.6045197700000001E-2</v>
      </c>
      <c r="D171" s="24">
        <v>151</v>
      </c>
      <c r="E171" s="25">
        <f t="shared" si="90"/>
        <v>-5.6250000000000001E-2</v>
      </c>
      <c r="F171" s="100">
        <f>IF(ISNUMBER(D171), $B172 * E171, "")</f>
        <v>-8437.5</v>
      </c>
      <c r="G171" s="98">
        <v>155</v>
      </c>
      <c r="H171" s="25">
        <f t="shared" si="91"/>
        <v>-3.125E-2</v>
      </c>
      <c r="I171" s="99">
        <f>IF(ISNUMBER(G171), $B172 * H171, "")</f>
        <v>-4687.5</v>
      </c>
      <c r="J171" s="24">
        <v>151</v>
      </c>
      <c r="K171" s="25">
        <f t="shared" si="92"/>
        <v>-5.6250000000000001E-2</v>
      </c>
      <c r="L171" s="100">
        <f>IF(ISNUMBER(J171), $B172 * K171, "")</f>
        <v>-8437.5</v>
      </c>
      <c r="M171" s="98">
        <v>153</v>
      </c>
      <c r="N171" s="25">
        <f t="shared" si="93"/>
        <v>-4.3749999999999997E-2</v>
      </c>
      <c r="O171" s="100">
        <f>IF(ISNUMBER(M171), $B172 * N171, "")</f>
        <v>-6562.5</v>
      </c>
      <c r="Q171" s="300"/>
      <c r="R171" s="301"/>
      <c r="S171" s="302"/>
    </row>
    <row r="172" spans="1:19" ht="17.25" thickBot="1">
      <c r="A172" s="131" t="s">
        <v>301</v>
      </c>
      <c r="B172" s="308">
        <f>$B$37</f>
        <v>150000</v>
      </c>
      <c r="C172" s="309"/>
      <c r="D172" s="26" t="s">
        <v>302</v>
      </c>
      <c r="E172" s="27">
        <f>IF(COUNT(E152:E171), SUM(E152:E171) / COUNT(E152:E171), 0)</f>
        <v>-4.6928689656781777E-2</v>
      </c>
      <c r="F172" s="28">
        <f>SUM(F152:F171)</f>
        <v>-140786.06897034537</v>
      </c>
      <c r="G172" s="26" t="s">
        <v>302</v>
      </c>
      <c r="H172" s="27">
        <f>IF(COUNT(H152:H171), SUM(H152:H171) / COUNT(H152:H171), 0)</f>
        <v>-3.2188603763878595E-2</v>
      </c>
      <c r="I172" s="28">
        <f>SUM(I152:I171)</f>
        <v>-96565.811291635808</v>
      </c>
      <c r="J172" s="26" t="s">
        <v>302</v>
      </c>
      <c r="K172" s="27">
        <f>IF(COUNT(K152:K171), SUM(K152:K171) / COUNT(K152:K171), 0)</f>
        <v>-4.6705522624654335E-2</v>
      </c>
      <c r="L172" s="28">
        <f>SUM(L152:L171)</f>
        <v>-140116.56787396301</v>
      </c>
      <c r="M172" s="26" t="s">
        <v>302</v>
      </c>
      <c r="N172" s="27">
        <f>IF(COUNT(N152:N171), SUM(N152:N171) / COUNT(N152:N171), 0)</f>
        <v>-2.9907799515056555E-2</v>
      </c>
      <c r="O172" s="28">
        <f>SUM(O152:O171)</f>
        <v>-89723.398545169664</v>
      </c>
      <c r="Q172" s="303"/>
      <c r="R172" s="304"/>
      <c r="S172" s="305"/>
    </row>
    <row r="174" spans="1:19" ht="17.25" thickBot="1"/>
    <row r="175" spans="1:19" ht="17.25" thickBot="1">
      <c r="A175" s="249" t="s">
        <v>285</v>
      </c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50"/>
      <c r="M175" s="250"/>
      <c r="N175" s="250"/>
      <c r="O175" s="251"/>
      <c r="Q175" s="270"/>
      <c r="R175" s="270"/>
      <c r="S175" s="270"/>
    </row>
    <row r="176" spans="1:19" ht="17.25" thickBot="1">
      <c r="A176" s="149" t="s">
        <v>298</v>
      </c>
      <c r="B176" s="249" t="s">
        <v>49</v>
      </c>
      <c r="C176" s="251"/>
      <c r="D176" s="249" t="s">
        <v>58</v>
      </c>
      <c r="E176" s="250"/>
      <c r="F176" s="251"/>
      <c r="G176" s="276">
        <f>_xlfn.IFNA(VLOOKUP(B176, 현재가테이블!$B$2:$D$200, 2, FALSE), "-")</f>
        <v>60874000</v>
      </c>
      <c r="H176" s="277"/>
      <c r="I176" s="278"/>
      <c r="J176" s="249" t="s">
        <v>59</v>
      </c>
      <c r="K176" s="250"/>
      <c r="L176" s="251"/>
      <c r="M176" s="279">
        <f>_xlfn.IFNA(VLOOKUP(B176, 현재가테이블!$B$2:$D$200, 3, FALSE), "-")</f>
        <v>-1.4936000099999999E-2</v>
      </c>
      <c r="N176" s="280"/>
      <c r="O176" s="281"/>
      <c r="Q176" s="270"/>
      <c r="R176" s="270"/>
      <c r="S176" s="270"/>
    </row>
    <row r="177" spans="1:19" ht="17.25" thickBot="1">
      <c r="A177" s="310" t="s">
        <v>55</v>
      </c>
      <c r="B177" s="312" t="str">
        <f>TEXT($G$1, "[$-ko-KR]yyyy-mm-dd(ddd) ") &amp; "오전 00:00"</f>
        <v>2021-05-05(수) 오전 00:00</v>
      </c>
      <c r="C177" s="313"/>
      <c r="D177" s="272" t="str">
        <f>TEXT($G$1, "[$-ko-KR]yyyy-mm-dd(ddd) ") &amp; "오후 14:00"</f>
        <v>2021-05-05(수) 오후 14:00</v>
      </c>
      <c r="E177" s="273"/>
      <c r="F177" s="274"/>
      <c r="G177" s="272" t="str">
        <f>TEXT($G$1, "[$-ko-KR]yyyy-mm-dd(ddd) ") &amp; "오후 19:00"</f>
        <v>2021-05-05(수) 오후 19:00</v>
      </c>
      <c r="H177" s="273"/>
      <c r="I177" s="274"/>
      <c r="J177" s="272" t="str">
        <f>TEXT($G$1, "[$-ko-KR]yyyy-mm-dd(ddd) ") &amp; "오후 21:00"</f>
        <v>2021-05-05(수) 오후 21:00</v>
      </c>
      <c r="K177" s="273"/>
      <c r="L177" s="274"/>
      <c r="M177" s="272" t="str">
        <f>TEXT($G$1+1, "[$-ko-KR]yyyy-mm-dd(ddd) ") &amp; "오전 00:00"</f>
        <v>2021-05-06(목) 오전 00:00</v>
      </c>
      <c r="N177" s="273"/>
      <c r="O177" s="274"/>
      <c r="Q177" s="270"/>
      <c r="R177" s="270"/>
      <c r="S177" s="270"/>
    </row>
    <row r="178" spans="1:19" ht="17.25" thickBot="1">
      <c r="A178" s="311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52" t="s">
        <v>58</v>
      </c>
      <c r="H178" s="153" t="s">
        <v>299</v>
      </c>
      <c r="I178" s="15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75"/>
      <c r="R178" s="275"/>
      <c r="S178" s="275"/>
    </row>
    <row r="179" spans="1:19" ht="17.25" thickBot="1">
      <c r="A179" s="122" t="s">
        <v>260</v>
      </c>
      <c r="B179" s="123">
        <v>129</v>
      </c>
      <c r="C179" s="72">
        <v>-8.5106382999999994E-2</v>
      </c>
      <c r="D179" s="13">
        <v>120</v>
      </c>
      <c r="E179" s="14">
        <f>IF(ISNUMBER(D179), (D179 - $B179) / $B179, "")</f>
        <v>-6.9767441860465115E-2</v>
      </c>
      <c r="F179" s="16">
        <f>IF(ISNUMBER(D179), $B199 * E179, "")</f>
        <v>-10465.116279069767</v>
      </c>
      <c r="G179" s="29">
        <v>122</v>
      </c>
      <c r="H179" s="14">
        <f>IF(ISNUMBER(G179), (G179 - $B179) / $B179, "")</f>
        <v>-5.4263565891472867E-2</v>
      </c>
      <c r="I179" s="96">
        <f>IF(ISNUMBER(G179), $B199 * H179, "")</f>
        <v>-8139.5348837209303</v>
      </c>
      <c r="J179" s="13">
        <v>119</v>
      </c>
      <c r="K179" s="14">
        <f>IF(ISNUMBER(J179), (J179 - $B179) / $B179, "")</f>
        <v>-7.7519379844961239E-2</v>
      </c>
      <c r="L179" s="16">
        <f>IF(ISNUMBER(J179), $B199 * K179, "")</f>
        <v>-11627.906976744185</v>
      </c>
      <c r="M179" s="29">
        <v>122</v>
      </c>
      <c r="N179" s="14">
        <f>IF(ISNUMBER(M179), (M179 - $B179) / $B179, "")</f>
        <v>-5.4263565891472867E-2</v>
      </c>
      <c r="O179" s="16">
        <f>IF(ISNUMBER(M179), $B199 * N179, "")</f>
        <v>-8139.5348837209303</v>
      </c>
      <c r="Q179" s="270"/>
      <c r="R179" s="270"/>
      <c r="S179" s="270"/>
    </row>
    <row r="180" spans="1:19" ht="17.25" thickBot="1">
      <c r="A180" s="124" t="s">
        <v>146</v>
      </c>
      <c r="B180" s="125">
        <v>18340</v>
      </c>
      <c r="C180" s="73">
        <v>-8.5286783000000005E-2</v>
      </c>
      <c r="D180" s="15">
        <v>18240</v>
      </c>
      <c r="E180" s="32">
        <f t="shared" ref="E180:E183" si="94">IF(ISNUMBER(D180), (D180 - $B180) / $B180, "")</f>
        <v>-5.4525627044711015E-3</v>
      </c>
      <c r="F180" s="18">
        <f>IF(ISNUMBER(D180), $B199 * E180, "")</f>
        <v>-817.88440567066527</v>
      </c>
      <c r="G180" s="31">
        <v>18200</v>
      </c>
      <c r="H180" s="32">
        <f t="shared" ref="H180:H183" si="95">IF(ISNUMBER(G180), (G180 - $B180) / $B180, "")</f>
        <v>-7.6335877862595417E-3</v>
      </c>
      <c r="I180" s="97">
        <f>IF(ISNUMBER(G180), $B199 * H180, "")</f>
        <v>-1145.0381679389313</v>
      </c>
      <c r="J180" s="15">
        <v>18590</v>
      </c>
      <c r="K180" s="32">
        <f t="shared" ref="K180:K183" si="96">IF(ISNUMBER(J180), (J180 - $B180) / $B180, "")</f>
        <v>1.3631406761177753E-2</v>
      </c>
      <c r="L180" s="18">
        <f>IF(ISNUMBER(J180), $B199 * K180, "")</f>
        <v>2044.711014176663</v>
      </c>
      <c r="M180" s="31">
        <v>18400</v>
      </c>
      <c r="N180" s="32">
        <f t="shared" ref="N180:N183" si="97">IF(ISNUMBER(M180), (M180 - $B180) / $B180, "")</f>
        <v>3.2715376226826608E-3</v>
      </c>
      <c r="O180" s="18">
        <f>IF(ISNUMBER(M180), $B199 * N180, "")</f>
        <v>490.7306434023991</v>
      </c>
      <c r="Q180" s="270"/>
      <c r="R180" s="270"/>
      <c r="S180" s="270"/>
    </row>
    <row r="181" spans="1:19" ht="17.25" thickBot="1">
      <c r="A181" s="124" t="s">
        <v>192</v>
      </c>
      <c r="B181" s="125">
        <v>1125</v>
      </c>
      <c r="C181" s="73">
        <v>-8.5365853699999994E-2</v>
      </c>
      <c r="D181" s="15">
        <v>1105</v>
      </c>
      <c r="E181" s="32">
        <f t="shared" si="94"/>
        <v>-1.7777777777777778E-2</v>
      </c>
      <c r="F181" s="18">
        <f>IF(ISNUMBER(D181), $B199 * E181, "")</f>
        <v>-2666.6666666666665</v>
      </c>
      <c r="G181" s="31">
        <v>1110</v>
      </c>
      <c r="H181" s="32">
        <f t="shared" si="95"/>
        <v>-1.3333333333333334E-2</v>
      </c>
      <c r="I181" s="97">
        <f>IF(ISNUMBER(G181), $B199 * H181, "")</f>
        <v>-2000.0000000000002</v>
      </c>
      <c r="J181" s="15">
        <v>1115</v>
      </c>
      <c r="K181" s="32">
        <f t="shared" si="96"/>
        <v>-8.8888888888888889E-3</v>
      </c>
      <c r="L181" s="18">
        <f>IF(ISNUMBER(J181), $B199 * K181, "")</f>
        <v>-1333.3333333333333</v>
      </c>
      <c r="M181" s="31">
        <v>1150</v>
      </c>
      <c r="N181" s="32">
        <f t="shared" si="97"/>
        <v>2.2222222222222223E-2</v>
      </c>
      <c r="O181" s="18">
        <f>IF(ISNUMBER(M181), $B199 * N181, "")</f>
        <v>3333.3333333333335</v>
      </c>
      <c r="Q181" s="275"/>
      <c r="R181" s="275"/>
      <c r="S181" s="275"/>
    </row>
    <row r="182" spans="1:19" ht="17.25" thickBot="1">
      <c r="A182" s="124" t="s">
        <v>250</v>
      </c>
      <c r="B182" s="125">
        <v>224</v>
      </c>
      <c r="C182" s="73">
        <v>-8.5714285700000004E-2</v>
      </c>
      <c r="D182" s="15">
        <v>210</v>
      </c>
      <c r="E182" s="32">
        <f t="shared" si="94"/>
        <v>-6.25E-2</v>
      </c>
      <c r="F182" s="18">
        <f>IF(ISNUMBER(D182), $B199 * E182, "")</f>
        <v>-9375</v>
      </c>
      <c r="G182" s="31">
        <v>216</v>
      </c>
      <c r="H182" s="32">
        <f t="shared" si="95"/>
        <v>-3.5714285714285712E-2</v>
      </c>
      <c r="I182" s="97">
        <f>IF(ISNUMBER(G182), $B199 * H182, "")</f>
        <v>-5357.1428571428569</v>
      </c>
      <c r="J182" s="15">
        <v>212</v>
      </c>
      <c r="K182" s="32">
        <f t="shared" si="96"/>
        <v>-5.3571428571428568E-2</v>
      </c>
      <c r="L182" s="18">
        <f>IF(ISNUMBER(J182), $B199 * K182, "")</f>
        <v>-8035.7142857142853</v>
      </c>
      <c r="M182" s="31">
        <v>216</v>
      </c>
      <c r="N182" s="32">
        <f t="shared" si="97"/>
        <v>-3.5714285714285712E-2</v>
      </c>
      <c r="O182" s="18">
        <f>IF(ISNUMBER(M182), $B199 * N182, "")</f>
        <v>-5357.1428571428569</v>
      </c>
      <c r="Q182" s="275"/>
      <c r="R182" s="275"/>
      <c r="S182" s="275"/>
    </row>
    <row r="183" spans="1:19" ht="17.25" thickBot="1">
      <c r="A183" s="126" t="s">
        <v>264</v>
      </c>
      <c r="B183" s="127">
        <v>179</v>
      </c>
      <c r="C183" s="74">
        <v>-8.6734693900000007E-2</v>
      </c>
      <c r="D183" s="20">
        <v>171</v>
      </c>
      <c r="E183" s="21">
        <f t="shared" si="94"/>
        <v>-4.4692737430167599E-2</v>
      </c>
      <c r="F183" s="22">
        <f>IF(ISNUMBER(D183), $B199 * E183, "")</f>
        <v>-6703.9106145251399</v>
      </c>
      <c r="G183" s="30">
        <v>174</v>
      </c>
      <c r="H183" s="21">
        <f t="shared" si="95"/>
        <v>-2.7932960893854747E-2</v>
      </c>
      <c r="I183" s="101">
        <f>IF(ISNUMBER(G183), $B199 * H183, "")</f>
        <v>-4189.9441340782123</v>
      </c>
      <c r="J183" s="20">
        <v>171</v>
      </c>
      <c r="K183" s="21">
        <f t="shared" si="96"/>
        <v>-4.4692737430167599E-2</v>
      </c>
      <c r="L183" s="22">
        <f>IF(ISNUMBER(J183), $B199 * K183, "")</f>
        <v>-6703.9106145251399</v>
      </c>
      <c r="M183" s="30">
        <v>173</v>
      </c>
      <c r="N183" s="21">
        <f t="shared" si="97"/>
        <v>-3.3519553072625698E-2</v>
      </c>
      <c r="O183" s="22">
        <f>IF(ISNUMBER(M183), $B199 * N183, "")</f>
        <v>-5027.9329608938542</v>
      </c>
      <c r="Q183" s="275"/>
      <c r="R183" s="275"/>
      <c r="S183" s="275"/>
    </row>
    <row r="184" spans="1:19" ht="17.25" thickBot="1">
      <c r="A184" s="124" t="s">
        <v>236</v>
      </c>
      <c r="B184" s="128">
        <v>72.2</v>
      </c>
      <c r="C184" s="76">
        <v>-8.7231352700000001E-2</v>
      </c>
      <c r="D184" s="102">
        <v>67.7</v>
      </c>
      <c r="E184" s="103">
        <f>IF(ISNUMBER(D184), (D184 - $B184) / $B184, "")</f>
        <v>-6.2326869806094178E-2</v>
      </c>
      <c r="F184" s="104">
        <f>IF(ISNUMBER(D184), $B199 * E184, "")</f>
        <v>-9349.0304709141274</v>
      </c>
      <c r="G184" s="105">
        <v>68.900000000000006</v>
      </c>
      <c r="H184" s="103">
        <f>IF(ISNUMBER(G184), (G184 - $B184) / $B184, "")</f>
        <v>-4.5706371191135693E-2</v>
      </c>
      <c r="I184" s="106">
        <f>IF(ISNUMBER(G184), $B199 * H184, "")</f>
        <v>-6855.9556786703542</v>
      </c>
      <c r="J184" s="102">
        <v>68</v>
      </c>
      <c r="K184" s="103">
        <f>IF(ISNUMBER(J184), (J184 - $B184) / $B184, "")</f>
        <v>-5.8171745152354605E-2</v>
      </c>
      <c r="L184" s="104">
        <f>IF(ISNUMBER(J184), $B199 * K184, "")</f>
        <v>-8725.7617728531914</v>
      </c>
      <c r="M184" s="105">
        <v>69.599999999999994</v>
      </c>
      <c r="N184" s="103">
        <f>IF(ISNUMBER(M184), (M184 - $B184) / $B184, "")</f>
        <v>-3.6011080332410086E-2</v>
      </c>
      <c r="O184" s="104">
        <f>IF(ISNUMBER(M184), $B199 * N184, "")</f>
        <v>-5401.662049861513</v>
      </c>
      <c r="Q184" s="275"/>
      <c r="R184" s="275"/>
      <c r="S184" s="275"/>
    </row>
    <row r="185" spans="1:19" ht="17.25" thickBot="1">
      <c r="A185" s="124" t="s">
        <v>218</v>
      </c>
      <c r="B185" s="125">
        <v>30.3</v>
      </c>
      <c r="C185" s="73">
        <v>-8.7349397600000003E-2</v>
      </c>
      <c r="D185" s="15">
        <v>28.1</v>
      </c>
      <c r="E185" s="32">
        <f t="shared" ref="E185:E188" si="98">IF(ISNUMBER(D185), (D185 - $B185) / $B185, "")</f>
        <v>-7.2607260726072584E-2</v>
      </c>
      <c r="F185" s="18">
        <f>IF(ISNUMBER(D185), $B199 * E185, "")</f>
        <v>-10891.089108910888</v>
      </c>
      <c r="G185" s="31">
        <v>28.7</v>
      </c>
      <c r="H185" s="32">
        <f t="shared" ref="H185:H188" si="99">IF(ISNUMBER(G185), (G185 - $B185) / $B185, "")</f>
        <v>-5.2805280528052848E-2</v>
      </c>
      <c r="I185" s="97">
        <f>IF(ISNUMBER(G185), $B199 * H185, "")</f>
        <v>-7920.7920792079267</v>
      </c>
      <c r="J185" s="15">
        <v>28.4</v>
      </c>
      <c r="K185" s="32">
        <f t="shared" ref="K185:K188" si="100">IF(ISNUMBER(J185), (J185 - $B185) / $B185, "")</f>
        <v>-6.2706270627062771E-2</v>
      </c>
      <c r="L185" s="18">
        <f>IF(ISNUMBER(J185), $B199 * K185, "")</f>
        <v>-9405.9405940594152</v>
      </c>
      <c r="M185" s="31">
        <v>28.8</v>
      </c>
      <c r="N185" s="32">
        <f t="shared" ref="N185:N188" si="101">IF(ISNUMBER(M185), (M185 - $B185) / $B185, "")</f>
        <v>-4.95049504950495E-2</v>
      </c>
      <c r="O185" s="18">
        <f>IF(ISNUMBER(M185), $B199 * N185, "")</f>
        <v>-7425.7425742574251</v>
      </c>
      <c r="Q185" s="275"/>
      <c r="R185" s="275"/>
      <c r="S185" s="275"/>
    </row>
    <row r="186" spans="1:19" ht="17.25" thickBot="1">
      <c r="A186" s="124" t="s">
        <v>186</v>
      </c>
      <c r="B186" s="125">
        <v>27.1</v>
      </c>
      <c r="C186" s="73">
        <v>-8.7542087500000004E-2</v>
      </c>
      <c r="D186" s="15">
        <v>25.5</v>
      </c>
      <c r="E186" s="32">
        <f t="shared" si="98"/>
        <v>-5.9040590405904106E-2</v>
      </c>
      <c r="F186" s="18">
        <f>IF(ISNUMBER(D186), $B199 * E186, "")</f>
        <v>-8856.0885608856152</v>
      </c>
      <c r="G186" s="31">
        <v>25.7</v>
      </c>
      <c r="H186" s="32">
        <f t="shared" si="99"/>
        <v>-5.1660516605166129E-2</v>
      </c>
      <c r="I186" s="97">
        <f>IF(ISNUMBER(G186), $B199 * H186, "")</f>
        <v>-7749.0774907749192</v>
      </c>
      <c r="J186" s="15">
        <v>25.2</v>
      </c>
      <c r="K186" s="32">
        <f t="shared" si="100"/>
        <v>-7.0110701107011147E-2</v>
      </c>
      <c r="L186" s="18">
        <f>IF(ISNUMBER(J186), $B199 * K186, "")</f>
        <v>-10516.605166051671</v>
      </c>
      <c r="M186" s="31">
        <v>25.9</v>
      </c>
      <c r="N186" s="32">
        <f t="shared" si="101"/>
        <v>-4.4280442804428145E-2</v>
      </c>
      <c r="O186" s="18">
        <f>IF(ISNUMBER(M186), $B199 * N186, "")</f>
        <v>-6642.0664206642214</v>
      </c>
      <c r="Q186" s="275"/>
      <c r="R186" s="275"/>
      <c r="S186" s="275"/>
    </row>
    <row r="187" spans="1:19" ht="17.25" thickBot="1">
      <c r="A187" s="124" t="s">
        <v>240</v>
      </c>
      <c r="B187" s="125">
        <v>196</v>
      </c>
      <c r="C187" s="73">
        <v>-8.8372092999999999E-2</v>
      </c>
      <c r="D187" s="15">
        <v>184</v>
      </c>
      <c r="E187" s="32">
        <f t="shared" si="98"/>
        <v>-6.1224489795918366E-2</v>
      </c>
      <c r="F187" s="18">
        <f>IF(ISNUMBER(D187), $B199 * E187, "")</f>
        <v>-9183.6734693877552</v>
      </c>
      <c r="G187" s="31">
        <v>190</v>
      </c>
      <c r="H187" s="32">
        <f t="shared" si="99"/>
        <v>-3.0612244897959183E-2</v>
      </c>
      <c r="I187" s="97">
        <f>IF(ISNUMBER(G187), $B199 * H187, "")</f>
        <v>-4591.8367346938776</v>
      </c>
      <c r="J187" s="15">
        <v>183</v>
      </c>
      <c r="K187" s="32">
        <f t="shared" si="100"/>
        <v>-6.6326530612244902E-2</v>
      </c>
      <c r="L187" s="18">
        <f>IF(ISNUMBER(J187), $B199 * K187, "")</f>
        <v>-9948.9795918367345</v>
      </c>
      <c r="M187" s="31">
        <v>188</v>
      </c>
      <c r="N187" s="32">
        <f t="shared" si="101"/>
        <v>-4.0816326530612242E-2</v>
      </c>
      <c r="O187" s="18">
        <f>IF(ISNUMBER(M187), $B199 * N187, "")</f>
        <v>-6122.4489795918362</v>
      </c>
      <c r="Q187" s="33"/>
      <c r="R187" s="33"/>
    </row>
    <row r="188" spans="1:19" ht="17.25" thickBot="1">
      <c r="A188" s="129" t="s">
        <v>198</v>
      </c>
      <c r="B188" s="130">
        <v>29.9</v>
      </c>
      <c r="C188" s="75">
        <v>-8.84146341E-2</v>
      </c>
      <c r="D188" s="24">
        <v>28.2</v>
      </c>
      <c r="E188" s="25">
        <f t="shared" si="98"/>
        <v>-5.6856187290969876E-2</v>
      </c>
      <c r="F188" s="100">
        <f>IF(ISNUMBER(D188), $B199 * E188, "")</f>
        <v>-8528.4280936454816</v>
      </c>
      <c r="G188" s="98">
        <v>28.5</v>
      </c>
      <c r="H188" s="25">
        <f t="shared" si="99"/>
        <v>-4.6822742474916343E-2</v>
      </c>
      <c r="I188" s="99">
        <f>IF(ISNUMBER(G188), $B199 * H188, "")</f>
        <v>-7023.411371237451</v>
      </c>
      <c r="J188" s="24">
        <v>28.2</v>
      </c>
      <c r="K188" s="25">
        <f t="shared" si="100"/>
        <v>-5.6856187290969876E-2</v>
      </c>
      <c r="L188" s="100">
        <f>IF(ISNUMBER(J188), $B199 * K188, "")</f>
        <v>-8528.4280936454816</v>
      </c>
      <c r="M188" s="98">
        <v>29</v>
      </c>
      <c r="N188" s="25">
        <f t="shared" si="101"/>
        <v>-3.0100334448160487E-2</v>
      </c>
      <c r="O188" s="100">
        <f>IF(ISNUMBER(M188), $B199 * N188, "")</f>
        <v>-4515.0501672240734</v>
      </c>
      <c r="Q188" s="284"/>
      <c r="R188" s="285"/>
      <c r="S188" s="286"/>
    </row>
    <row r="189" spans="1:19">
      <c r="A189" s="122" t="s">
        <v>112</v>
      </c>
      <c r="B189" s="123">
        <v>264</v>
      </c>
      <c r="C189" s="72">
        <v>-8.9655172399999997E-2</v>
      </c>
      <c r="D189" s="13">
        <v>252</v>
      </c>
      <c r="E189" s="14">
        <f>IF(ISNUMBER(D189), (D189 - $B189) / $B189, "")</f>
        <v>-4.5454545454545456E-2</v>
      </c>
      <c r="F189" s="16">
        <f>IF(ISNUMBER(D189), $B199 * E189, "")</f>
        <v>-6818.181818181818</v>
      </c>
      <c r="G189" s="29">
        <v>256</v>
      </c>
      <c r="H189" s="14">
        <f>IF(ISNUMBER(G189), (G189 - $B189) / $B189, "")</f>
        <v>-3.0303030303030304E-2</v>
      </c>
      <c r="I189" s="96">
        <f>IF(ISNUMBER(G189), $B199 * H189, "")</f>
        <v>-4545.454545454546</v>
      </c>
      <c r="J189" s="13">
        <v>252</v>
      </c>
      <c r="K189" s="14">
        <f>IF(ISNUMBER(J189), (J189 - $B189) / $B189, "")</f>
        <v>-4.5454545454545456E-2</v>
      </c>
      <c r="L189" s="16">
        <f>IF(ISNUMBER(J189), $B199 * K189, "")</f>
        <v>-6818.181818181818</v>
      </c>
      <c r="M189" s="29">
        <v>256</v>
      </c>
      <c r="N189" s="14">
        <f>IF(ISNUMBER(M189), (M189 - $B189) / $B189, "")</f>
        <v>-3.0303030303030304E-2</v>
      </c>
      <c r="O189" s="16">
        <f>IF(ISNUMBER(M189), $B199 * N189, "")</f>
        <v>-4545.454545454546</v>
      </c>
      <c r="Q189" s="287"/>
      <c r="R189" s="288"/>
      <c r="S189" s="289"/>
    </row>
    <row r="190" spans="1:19" ht="17.25" thickBot="1">
      <c r="A190" s="124" t="s">
        <v>152</v>
      </c>
      <c r="B190" s="125">
        <v>45.6</v>
      </c>
      <c r="C190" s="73">
        <v>-8.9820359299999999E-2</v>
      </c>
      <c r="D190" s="15">
        <v>45.8</v>
      </c>
      <c r="E190" s="32">
        <f t="shared" ref="E190:E193" si="102">IF(ISNUMBER(D190), (D190 - $B190) / $B190, "")</f>
        <v>4.3859649122806078E-3</v>
      </c>
      <c r="F190" s="18">
        <f>IF(ISNUMBER(D190), $B199 * E190, "")</f>
        <v>657.89473684209122</v>
      </c>
      <c r="G190" s="31">
        <v>47.6</v>
      </c>
      <c r="H190" s="32">
        <f t="shared" ref="H190:H193" si="103">IF(ISNUMBER(G190), (G190 - $B190) / $B190, "")</f>
        <v>4.3859649122807015E-2</v>
      </c>
      <c r="I190" s="97">
        <f>IF(ISNUMBER(G190), $B199 * H190, "")</f>
        <v>6578.9473684210525</v>
      </c>
      <c r="J190" s="15">
        <v>48.1</v>
      </c>
      <c r="K190" s="32">
        <f t="shared" ref="K190:K193" si="104">IF(ISNUMBER(J190), (J190 - $B190) / $B190, "")</f>
        <v>5.4824561403508769E-2</v>
      </c>
      <c r="L190" s="18">
        <f>IF(ISNUMBER(J190), $B199 * K190, "")</f>
        <v>8223.6842105263149</v>
      </c>
      <c r="M190" s="31">
        <v>51.5</v>
      </c>
      <c r="N190" s="32">
        <f t="shared" ref="N190:N193" si="105">IF(ISNUMBER(M190), (M190 - $B190) / $B190, "")</f>
        <v>0.12938596491228066</v>
      </c>
      <c r="O190" s="18">
        <f>IF(ISNUMBER(M190), $B199 * N190, "")</f>
        <v>19407.8947368421</v>
      </c>
      <c r="Q190" s="290"/>
      <c r="R190" s="291"/>
      <c r="S190" s="292"/>
    </row>
    <row r="191" spans="1:19" ht="17.25" thickBot="1">
      <c r="A191" s="124" t="s">
        <v>54</v>
      </c>
      <c r="B191" s="125">
        <v>364</v>
      </c>
      <c r="C191" s="73">
        <v>-0.09</v>
      </c>
      <c r="D191" s="15">
        <v>360</v>
      </c>
      <c r="E191" s="32">
        <f t="shared" si="102"/>
        <v>-1.098901098901099E-2</v>
      </c>
      <c r="F191" s="18">
        <f>IF(ISNUMBER(D191), $B199 * E191, "")</f>
        <v>-1648.3516483516485</v>
      </c>
      <c r="G191" s="31">
        <v>364</v>
      </c>
      <c r="H191" s="32">
        <f t="shared" si="103"/>
        <v>0</v>
      </c>
      <c r="I191" s="97">
        <f>IF(ISNUMBER(G191), $B199 * H191, "")</f>
        <v>0</v>
      </c>
      <c r="J191" s="15">
        <v>363</v>
      </c>
      <c r="K191" s="32">
        <f t="shared" si="104"/>
        <v>-2.7472527472527475E-3</v>
      </c>
      <c r="L191" s="18">
        <f>IF(ISNUMBER(J191), $B199 * K191, "")</f>
        <v>-412.08791208791212</v>
      </c>
      <c r="M191" s="31">
        <v>378</v>
      </c>
      <c r="N191" s="32">
        <f t="shared" si="105"/>
        <v>3.8461538461538464E-2</v>
      </c>
      <c r="O191" s="18">
        <f>IF(ISNUMBER(M191), $B199 * N191, "")</f>
        <v>5769.2307692307695</v>
      </c>
      <c r="Q191" s="275"/>
      <c r="R191" s="275"/>
      <c r="S191" s="275"/>
    </row>
    <row r="192" spans="1:19" ht="17.25" thickBot="1">
      <c r="A192" s="124" t="s">
        <v>124</v>
      </c>
      <c r="B192" s="125">
        <v>7235</v>
      </c>
      <c r="C192" s="73">
        <v>-9.1080402000000005E-2</v>
      </c>
      <c r="D192" s="15">
        <v>6810</v>
      </c>
      <c r="E192" s="32">
        <f t="shared" si="102"/>
        <v>-5.8742225293711127E-2</v>
      </c>
      <c r="F192" s="18">
        <f>IF(ISNUMBER(D192), $B199 * E192, "")</f>
        <v>-8811.3337940566689</v>
      </c>
      <c r="G192" s="31">
        <v>6965</v>
      </c>
      <c r="H192" s="32">
        <f t="shared" si="103"/>
        <v>-3.7318590186592948E-2</v>
      </c>
      <c r="I192" s="97">
        <f>IF(ISNUMBER(G192), $B199 * H192, "")</f>
        <v>-5597.7885279889424</v>
      </c>
      <c r="J192" s="15">
        <v>6865</v>
      </c>
      <c r="K192" s="32">
        <f t="shared" si="104"/>
        <v>-5.1140290255701451E-2</v>
      </c>
      <c r="L192" s="18">
        <f>IF(ISNUMBER(J192), $B199 * K192, "")</f>
        <v>-7671.0435383552176</v>
      </c>
      <c r="M192" s="31">
        <v>6935</v>
      </c>
      <c r="N192" s="32">
        <f t="shared" si="105"/>
        <v>-4.1465100207325502E-2</v>
      </c>
      <c r="O192" s="18">
        <f>IF(ISNUMBER(M192), $B199 * N192, "")</f>
        <v>-6219.7650310988256</v>
      </c>
      <c r="Q192" s="270"/>
      <c r="R192" s="270"/>
      <c r="S192" s="270"/>
    </row>
    <row r="193" spans="1:19" ht="17.25" thickBot="1">
      <c r="A193" s="126" t="s">
        <v>244</v>
      </c>
      <c r="B193" s="127">
        <v>3760</v>
      </c>
      <c r="C193" s="74">
        <v>-9.1787439600000006E-2</v>
      </c>
      <c r="D193" s="20">
        <v>3630</v>
      </c>
      <c r="E193" s="21">
        <f t="shared" si="102"/>
        <v>-3.4574468085106384E-2</v>
      </c>
      <c r="F193" s="22">
        <f>IF(ISNUMBER(D193), $B199 * E193, "")</f>
        <v>-5186.1702127659573</v>
      </c>
      <c r="G193" s="30">
        <v>3755</v>
      </c>
      <c r="H193" s="21">
        <f t="shared" si="103"/>
        <v>-1.3297872340425532E-3</v>
      </c>
      <c r="I193" s="101">
        <f>IF(ISNUMBER(G193), $B199 * H193, "")</f>
        <v>-199.46808510638297</v>
      </c>
      <c r="J193" s="20">
        <v>3655</v>
      </c>
      <c r="K193" s="21">
        <f t="shared" si="104"/>
        <v>-2.7925531914893616E-2</v>
      </c>
      <c r="L193" s="22">
        <f>IF(ISNUMBER(J193), $B199 * K193, "")</f>
        <v>-4188.8297872340427</v>
      </c>
      <c r="M193" s="30">
        <v>3725</v>
      </c>
      <c r="N193" s="21">
        <f t="shared" si="105"/>
        <v>-9.3085106382978719E-3</v>
      </c>
      <c r="O193" s="22">
        <f>IF(ISNUMBER(M193), $B199 * N193, "")</f>
        <v>-1396.2765957446809</v>
      </c>
      <c r="Q193" s="270"/>
      <c r="R193" s="270"/>
      <c r="S193" s="270"/>
    </row>
    <row r="194" spans="1:19" ht="17.25" thickBot="1">
      <c r="A194" s="124" t="s">
        <v>202</v>
      </c>
      <c r="B194" s="128">
        <v>226</v>
      </c>
      <c r="C194" s="76">
        <v>-9.2369477899999997E-2</v>
      </c>
      <c r="D194" s="102">
        <v>213</v>
      </c>
      <c r="E194" s="103">
        <f>IF(ISNUMBER(D194), (D194 - $B194) / $B194, "")</f>
        <v>-5.7522123893805309E-2</v>
      </c>
      <c r="F194" s="104">
        <f>IF(ISNUMBER(D194), $B199 * E194, "")</f>
        <v>-8628.3185840707956</v>
      </c>
      <c r="G194" s="105">
        <v>214</v>
      </c>
      <c r="H194" s="103">
        <f>IF(ISNUMBER(G194), (G194 - $B194) / $B194, "")</f>
        <v>-5.3097345132743362E-2</v>
      </c>
      <c r="I194" s="106">
        <f>IF(ISNUMBER(G194), $B199 * H194, "")</f>
        <v>-7964.6017699115046</v>
      </c>
      <c r="J194" s="102">
        <v>209</v>
      </c>
      <c r="K194" s="103">
        <f>IF(ISNUMBER(J194), (J194 - $B194) / $B194, "")</f>
        <v>-7.5221238938053103E-2</v>
      </c>
      <c r="L194" s="104">
        <f>IF(ISNUMBER(J194), $B199 * K194, "")</f>
        <v>-11283.185840707965</v>
      </c>
      <c r="M194" s="105">
        <v>215</v>
      </c>
      <c r="N194" s="103">
        <f>IF(ISNUMBER(M194), (M194 - $B194) / $B194, "")</f>
        <v>-4.8672566371681415E-2</v>
      </c>
      <c r="O194" s="104">
        <f>IF(ISNUMBER(M194), $B199 * N194, "")</f>
        <v>-7300.8849557522126</v>
      </c>
      <c r="Q194" s="275"/>
      <c r="R194" s="275"/>
      <c r="S194" s="275"/>
    </row>
    <row r="195" spans="1:19" ht="17.25" thickBot="1">
      <c r="A195" s="124" t="s">
        <v>230</v>
      </c>
      <c r="B195" s="125">
        <v>185</v>
      </c>
      <c r="C195" s="73">
        <v>-9.3137254899999994E-2</v>
      </c>
      <c r="D195" s="15">
        <v>173</v>
      </c>
      <c r="E195" s="32">
        <f t="shared" ref="E195:E198" si="106">IF(ISNUMBER(D195), (D195 - $B195) / $B195, "")</f>
        <v>-6.4864864864864868E-2</v>
      </c>
      <c r="F195" s="18">
        <f>IF(ISNUMBER(D195), $B199 * E195, "")</f>
        <v>-9729.72972972973</v>
      </c>
      <c r="G195" s="31">
        <v>176</v>
      </c>
      <c r="H195" s="32">
        <f t="shared" ref="H195:H198" si="107">IF(ISNUMBER(G195), (G195 - $B195) / $B195, "")</f>
        <v>-4.8648648648648651E-2</v>
      </c>
      <c r="I195" s="97">
        <f>IF(ISNUMBER(G195), $B199 * H195, "")</f>
        <v>-7297.2972972972975</v>
      </c>
      <c r="J195" s="15">
        <v>174</v>
      </c>
      <c r="K195" s="32">
        <f t="shared" ref="K195:K198" si="108">IF(ISNUMBER(J195), (J195 - $B195) / $B195, "")</f>
        <v>-5.9459459459459463E-2</v>
      </c>
      <c r="L195" s="18">
        <f>IF(ISNUMBER(J195), $B199 * K195, "")</f>
        <v>-8918.9189189189201</v>
      </c>
      <c r="M195" s="31">
        <v>177</v>
      </c>
      <c r="N195" s="32">
        <f t="shared" ref="N195:N198" si="109">IF(ISNUMBER(M195), (M195 - $B195) / $B195, "")</f>
        <v>-4.3243243243243246E-2</v>
      </c>
      <c r="O195" s="18">
        <f>IF(ISNUMBER(M195), $B199 * N195, "")</f>
        <v>-6486.4864864864867</v>
      </c>
      <c r="Q195" s="275"/>
      <c r="R195" s="275"/>
      <c r="S195" s="275"/>
    </row>
    <row r="196" spans="1:19" ht="17.25" thickBot="1">
      <c r="A196" s="124" t="s">
        <v>210</v>
      </c>
      <c r="B196" s="125">
        <v>203</v>
      </c>
      <c r="C196" s="73">
        <v>-9.375E-2</v>
      </c>
      <c r="D196" s="15">
        <v>190</v>
      </c>
      <c r="E196" s="32">
        <f t="shared" si="106"/>
        <v>-6.4039408866995079E-2</v>
      </c>
      <c r="F196" s="18">
        <f>IF(ISNUMBER(D196), $B199 * E196, "")</f>
        <v>-9605.9113300492627</v>
      </c>
      <c r="G196" s="31">
        <v>197</v>
      </c>
      <c r="H196" s="32">
        <f t="shared" si="107"/>
        <v>-2.9556650246305417E-2</v>
      </c>
      <c r="I196" s="97">
        <f>IF(ISNUMBER(G196), $B199 * H196, "")</f>
        <v>-4433.4975369458125</v>
      </c>
      <c r="J196" s="15">
        <v>192</v>
      </c>
      <c r="K196" s="32">
        <f t="shared" si="108"/>
        <v>-5.4187192118226604E-2</v>
      </c>
      <c r="L196" s="18">
        <f>IF(ISNUMBER(J196), $B199 * K196, "")</f>
        <v>-8128.0788177339909</v>
      </c>
      <c r="M196" s="31">
        <v>197</v>
      </c>
      <c r="N196" s="32">
        <f t="shared" si="109"/>
        <v>-2.9556650246305417E-2</v>
      </c>
      <c r="O196" s="18">
        <f>IF(ISNUMBER(M196), $B199 * N196, "")</f>
        <v>-4433.4975369458125</v>
      </c>
      <c r="Q196" s="275"/>
      <c r="R196" s="275"/>
      <c r="S196" s="275"/>
    </row>
    <row r="197" spans="1:19">
      <c r="A197" s="124" t="s">
        <v>126</v>
      </c>
      <c r="B197" s="125">
        <v>63.1</v>
      </c>
      <c r="C197" s="73">
        <v>-9.5988538700000001E-2</v>
      </c>
      <c r="D197" s="15">
        <v>60.1</v>
      </c>
      <c r="E197" s="32">
        <f t="shared" si="106"/>
        <v>-4.7543581616481777E-2</v>
      </c>
      <c r="F197" s="18">
        <f>IF(ISNUMBER(D197), $B199 * E197, "")</f>
        <v>-7131.5372424722664</v>
      </c>
      <c r="G197" s="31">
        <v>62.1</v>
      </c>
      <c r="H197" s="32">
        <f t="shared" si="107"/>
        <v>-1.5847860538827259E-2</v>
      </c>
      <c r="I197" s="97">
        <f>IF(ISNUMBER(G197), $B199 * H197, "")</f>
        <v>-2377.1790808240889</v>
      </c>
      <c r="J197" s="15">
        <v>63.8</v>
      </c>
      <c r="K197" s="32">
        <f t="shared" si="108"/>
        <v>1.1093502377179014E-2</v>
      </c>
      <c r="L197" s="18">
        <f>IF(ISNUMBER(J197), $B199 * K197, "")</f>
        <v>1664.0253565768521</v>
      </c>
      <c r="M197" s="31">
        <v>65.5</v>
      </c>
      <c r="N197" s="32">
        <f t="shared" si="109"/>
        <v>3.8034865293185394E-2</v>
      </c>
      <c r="O197" s="18">
        <f>IF(ISNUMBER(M197), $B199 * N197, "")</f>
        <v>5705.2297939778091</v>
      </c>
      <c r="Q197" s="297"/>
      <c r="R197" s="298"/>
      <c r="S197" s="299"/>
    </row>
    <row r="198" spans="1:19" ht="17.25" thickBot="1">
      <c r="A198" s="129" t="s">
        <v>212</v>
      </c>
      <c r="B198" s="130">
        <v>160</v>
      </c>
      <c r="C198" s="75">
        <v>-9.6045197700000001E-2</v>
      </c>
      <c r="D198" s="24">
        <v>151</v>
      </c>
      <c r="E198" s="25">
        <f t="shared" si="106"/>
        <v>-5.6250000000000001E-2</v>
      </c>
      <c r="F198" s="100">
        <f>IF(ISNUMBER(D198), $B199 * E198, "")</f>
        <v>-8437.5</v>
      </c>
      <c r="G198" s="98">
        <v>155</v>
      </c>
      <c r="H198" s="25">
        <f t="shared" si="107"/>
        <v>-3.125E-2</v>
      </c>
      <c r="I198" s="99">
        <f>IF(ISNUMBER(G198), $B199 * H198, "")</f>
        <v>-4687.5</v>
      </c>
      <c r="J198" s="24">
        <v>151</v>
      </c>
      <c r="K198" s="25">
        <f t="shared" si="108"/>
        <v>-5.6250000000000001E-2</v>
      </c>
      <c r="L198" s="100">
        <f>IF(ISNUMBER(J198), $B199 * K198, "")</f>
        <v>-8437.5</v>
      </c>
      <c r="M198" s="98">
        <v>153</v>
      </c>
      <c r="N198" s="25">
        <f t="shared" si="109"/>
        <v>-4.3749999999999997E-2</v>
      </c>
      <c r="O198" s="100">
        <f>IF(ISNUMBER(M198), $B199 * N198, "")</f>
        <v>-6562.5</v>
      </c>
      <c r="Q198" s="300"/>
      <c r="R198" s="301"/>
      <c r="S198" s="302"/>
    </row>
    <row r="199" spans="1:19" ht="17.25" thickBot="1">
      <c r="A199" s="131" t="s">
        <v>301</v>
      </c>
      <c r="B199" s="308">
        <f>$B$37</f>
        <v>150000</v>
      </c>
      <c r="C199" s="309"/>
      <c r="D199" s="26" t="s">
        <v>302</v>
      </c>
      <c r="E199" s="27">
        <f>IF(COUNT(E179:E198), SUM(E179:E198) / COUNT(E179:E198), 0)</f>
        <v>-4.7392009097504052E-2</v>
      </c>
      <c r="F199" s="28">
        <f>SUM(F179:F198)</f>
        <v>-142176.02729251215</v>
      </c>
      <c r="G199" s="26" t="s">
        <v>302</v>
      </c>
      <c r="H199" s="27">
        <f>IF(COUNT(H179:H198), SUM(H179:H198) / COUNT(H179:H198), 0)</f>
        <v>-2.8498857624190993E-2</v>
      </c>
      <c r="I199" s="28">
        <f>SUM(I179:I198)</f>
        <v>-85496.572872572986</v>
      </c>
      <c r="J199" s="26" t="s">
        <v>302</v>
      </c>
      <c r="K199" s="27">
        <f>IF(COUNT(K179:K198), SUM(K179:K198) / COUNT(K179:K198), 0)</f>
        <v>-3.9583995493567829E-2</v>
      </c>
      <c r="L199" s="28">
        <f>SUM(L179:L198)</f>
        <v>-118751.98648070348</v>
      </c>
      <c r="M199" s="26" t="s">
        <v>302</v>
      </c>
      <c r="N199" s="27">
        <f>IF(COUNT(N179:N198), SUM(N179:N198) / COUNT(N179:N198), 0)</f>
        <v>-1.6956675589350954E-2</v>
      </c>
      <c r="O199" s="28">
        <f>SUM(O179:O198)</f>
        <v>-50870.026768052856</v>
      </c>
      <c r="Q199" s="303"/>
      <c r="R199" s="304"/>
      <c r="S199" s="30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1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37" priority="157">
      <formula>AND($N17 &gt; 0, ISNUMBER($N17))</formula>
    </cfRule>
    <cfRule type="expression" dxfId="2136" priority="158">
      <formula>AND($N17 = 0 * ISNUMBER($N17))</formula>
    </cfRule>
    <cfRule type="expression" dxfId="2135" priority="159">
      <formula>AND($N17 &lt; 0, ISNUMBER($N17))</formula>
    </cfRule>
  </conditionalFormatting>
  <conditionalFormatting sqref="A17:F36">
    <cfRule type="expression" dxfId="2134" priority="166">
      <formula>AND($E17 &gt; 0, ISNUMBER($E17))</formula>
    </cfRule>
    <cfRule type="expression" dxfId="2133" priority="167">
      <formula>AND($E17 = 0 * ISNUMBER($E17))</formula>
    </cfRule>
    <cfRule type="expression" dxfId="2132" priority="168">
      <formula>AND($E17 &lt; 0, ISNUMBER($E17))</formula>
    </cfRule>
  </conditionalFormatting>
  <conditionalFormatting sqref="A17:C36 G17:I36">
    <cfRule type="expression" dxfId="2131" priority="163">
      <formula>AND($H17 &gt; 0, ISNUMBER($H17))</formula>
    </cfRule>
    <cfRule type="expression" dxfId="2130" priority="164">
      <formula>AND($H17 = 0 * ISNUMBER($H17))</formula>
    </cfRule>
    <cfRule type="expression" dxfId="2129" priority="165">
      <formula>AND($H17 &lt; 0, ISNUMBER($H17))</formula>
    </cfRule>
  </conditionalFormatting>
  <conditionalFormatting sqref="A17:C36 J17:L36">
    <cfRule type="expression" dxfId="2128" priority="160">
      <formula>AND($K17 &gt; 0, ISNUMBER($K17))</formula>
    </cfRule>
    <cfRule type="expression" dxfId="2127" priority="161">
      <formula>AND($K17 = 0 * ISNUMBER($K17))</formula>
    </cfRule>
    <cfRule type="expression" dxfId="2126" priority="162">
      <formula>AND($K17 &lt; 0, ISNUMBER($K17))</formula>
    </cfRule>
  </conditionalFormatting>
  <conditionalFormatting sqref="D15:F16 E37:F37">
    <cfRule type="expression" dxfId="2125" priority="154">
      <formula>$E$37 &gt; 0</formula>
    </cfRule>
    <cfRule type="expression" dxfId="2124" priority="155">
      <formula>$E$37 = 0</formula>
    </cfRule>
    <cfRule type="expression" dxfId="2123" priority="156">
      <formula>$E$37 &lt; 0</formula>
    </cfRule>
  </conditionalFormatting>
  <conditionalFormatting sqref="G15:I16 H37:I37">
    <cfRule type="expression" dxfId="2122" priority="151">
      <formula>$H$37 &gt; 0</formula>
    </cfRule>
    <cfRule type="expression" dxfId="2121" priority="152">
      <formula>$H$37 = 0</formula>
    </cfRule>
    <cfRule type="expression" dxfId="2120" priority="153">
      <formula>$H$37 &lt; 0</formula>
    </cfRule>
  </conditionalFormatting>
  <conditionalFormatting sqref="J15:L16 K37:L37">
    <cfRule type="expression" dxfId="2119" priority="148">
      <formula>$K$37 &gt; 0</formula>
    </cfRule>
    <cfRule type="expression" dxfId="2118" priority="149">
      <formula>$K$37 = 0</formula>
    </cfRule>
    <cfRule type="expression" dxfId="2117" priority="150">
      <formula>$K$37 &lt; 0</formula>
    </cfRule>
  </conditionalFormatting>
  <conditionalFormatting sqref="M15:O16 N37:O37">
    <cfRule type="expression" dxfId="2116" priority="145">
      <formula>$N$37 &gt; 0</formula>
    </cfRule>
    <cfRule type="expression" dxfId="2115" priority="146">
      <formula>$N$37 = 0</formula>
    </cfRule>
    <cfRule type="expression" dxfId="2114" priority="147">
      <formula>$N$37 &lt; 0</formula>
    </cfRule>
  </conditionalFormatting>
  <conditionalFormatting sqref="A44:C63 M44:O63">
    <cfRule type="expression" dxfId="2113" priority="133">
      <formula>AND($N44 &gt; 0, ISNUMBER($N44))</formula>
    </cfRule>
    <cfRule type="expression" dxfId="2112" priority="134">
      <formula>AND($N44 = 0 * ISNUMBER($N44))</formula>
    </cfRule>
    <cfRule type="expression" dxfId="2111" priority="135">
      <formula>AND($N44 &lt; 0, ISNUMBER($N44))</formula>
    </cfRule>
  </conditionalFormatting>
  <conditionalFormatting sqref="A44:F63">
    <cfRule type="expression" dxfId="2110" priority="142">
      <formula>AND($E44 &gt; 0, ISNUMBER($E44))</formula>
    </cfRule>
    <cfRule type="expression" dxfId="2109" priority="143">
      <formula>AND($E44 = 0 * ISNUMBER($E44))</formula>
    </cfRule>
    <cfRule type="expression" dxfId="2108" priority="144">
      <formula>AND($E44 &lt; 0, ISNUMBER($E44))</formula>
    </cfRule>
  </conditionalFormatting>
  <conditionalFormatting sqref="A44:C63 G44:I63">
    <cfRule type="expression" dxfId="2107" priority="139">
      <formula>AND($H44 &gt; 0, ISNUMBER($H44))</formula>
    </cfRule>
    <cfRule type="expression" dxfId="2106" priority="140">
      <formula>AND($H44 = 0 * ISNUMBER($H44))</formula>
    </cfRule>
    <cfRule type="expression" dxfId="2105" priority="141">
      <formula>AND($H44 &lt; 0, ISNUMBER($H44))</formula>
    </cfRule>
  </conditionalFormatting>
  <conditionalFormatting sqref="A44:C63 J44:L63">
    <cfRule type="expression" dxfId="2104" priority="136">
      <formula>AND($K44 &gt; 0, ISNUMBER($K44))</formula>
    </cfRule>
    <cfRule type="expression" dxfId="2103" priority="137">
      <formula>AND($K44 = 0 * ISNUMBER($K44))</formula>
    </cfRule>
    <cfRule type="expression" dxfId="2102" priority="138">
      <formula>AND($K44 &lt; 0, ISNUMBER($K44))</formula>
    </cfRule>
  </conditionalFormatting>
  <conditionalFormatting sqref="D42:F43 E64:F64">
    <cfRule type="expression" dxfId="2101" priority="130">
      <formula>$E$64 &gt; 0</formula>
    </cfRule>
    <cfRule type="expression" dxfId="2100" priority="131">
      <formula>$E$64 = 0</formula>
    </cfRule>
    <cfRule type="expression" dxfId="2099" priority="132">
      <formula>$E$64 &lt; 0</formula>
    </cfRule>
  </conditionalFormatting>
  <conditionalFormatting sqref="G42:I43 H64:I64">
    <cfRule type="expression" dxfId="2098" priority="127">
      <formula>$H$64 &gt; 0</formula>
    </cfRule>
    <cfRule type="expression" dxfId="2097" priority="128">
      <formula>$H$64 = 0</formula>
    </cfRule>
    <cfRule type="expression" dxfId="2096" priority="129">
      <formula>$H$64 &lt; 0</formula>
    </cfRule>
  </conditionalFormatting>
  <conditionalFormatting sqref="J42:L43 K64:L64">
    <cfRule type="expression" dxfId="2095" priority="124">
      <formula>$K$64 &gt; 0</formula>
    </cfRule>
    <cfRule type="expression" dxfId="2094" priority="125">
      <formula>$K$64 = 0</formula>
    </cfRule>
    <cfRule type="expression" dxfId="2093" priority="126">
      <formula>$K$64 &lt; 0</formula>
    </cfRule>
  </conditionalFormatting>
  <conditionalFormatting sqref="M42:O43 N64:O64">
    <cfRule type="expression" dxfId="2092" priority="121">
      <formula>$N$64 &gt; 0</formula>
    </cfRule>
    <cfRule type="expression" dxfId="2091" priority="122">
      <formula>$N$64 = 0</formula>
    </cfRule>
    <cfRule type="expression" dxfId="2090" priority="123">
      <formula>$N$64 &lt; 0</formula>
    </cfRule>
  </conditionalFormatting>
  <conditionalFormatting sqref="A71:C90 M71:O90">
    <cfRule type="expression" dxfId="2089" priority="109">
      <formula>AND($N71 &gt; 0, ISNUMBER($N71))</formula>
    </cfRule>
    <cfRule type="expression" dxfId="2088" priority="110">
      <formula>AND($N71 = 0 * ISNUMBER($N71))</formula>
    </cfRule>
    <cfRule type="expression" dxfId="2087" priority="111">
      <formula>AND($N71 &lt; 0, ISNUMBER($N71))</formula>
    </cfRule>
  </conditionalFormatting>
  <conditionalFormatting sqref="A71:F90">
    <cfRule type="expression" dxfId="2086" priority="118">
      <formula>AND($E71 &gt; 0, ISNUMBER($E71))</formula>
    </cfRule>
    <cfRule type="expression" dxfId="2085" priority="119">
      <formula>AND($E71 = 0 * ISNUMBER($E71))</formula>
    </cfRule>
    <cfRule type="expression" dxfId="2084" priority="120">
      <formula>AND($E71 &lt; 0, ISNUMBER($E71))</formula>
    </cfRule>
  </conditionalFormatting>
  <conditionalFormatting sqref="A71:C90 G71:I90">
    <cfRule type="expression" dxfId="2083" priority="115">
      <formula>AND($H71 &gt; 0, ISNUMBER($H71))</formula>
    </cfRule>
    <cfRule type="expression" dxfId="2082" priority="116">
      <formula>AND($H71 = 0 * ISNUMBER($H71))</formula>
    </cfRule>
    <cfRule type="expression" dxfId="2081" priority="117">
      <formula>AND($H71 &lt; 0, ISNUMBER($H71))</formula>
    </cfRule>
  </conditionalFormatting>
  <conditionalFormatting sqref="A71:C90 J71:L90">
    <cfRule type="expression" dxfId="2080" priority="112">
      <formula>AND($K71 &gt; 0, ISNUMBER($K71))</formula>
    </cfRule>
    <cfRule type="expression" dxfId="2079" priority="113">
      <formula>AND($K71 = 0 * ISNUMBER($K71))</formula>
    </cfRule>
    <cfRule type="expression" dxfId="2078" priority="114">
      <formula>AND($K71 &lt; 0, ISNUMBER($K71))</formula>
    </cfRule>
  </conditionalFormatting>
  <conditionalFormatting sqref="D69:F70 E91:F91">
    <cfRule type="expression" dxfId="2077" priority="106">
      <formula>$E$91 &gt; 0</formula>
    </cfRule>
    <cfRule type="expression" dxfId="2076" priority="107">
      <formula>$E$91 = 0</formula>
    </cfRule>
    <cfRule type="expression" dxfId="2075" priority="108">
      <formula>$E$91 &lt; 0</formula>
    </cfRule>
  </conditionalFormatting>
  <conditionalFormatting sqref="G69:I70 H91:I91">
    <cfRule type="expression" dxfId="2074" priority="103">
      <formula>$H$91 &gt; 0</formula>
    </cfRule>
    <cfRule type="expression" dxfId="2073" priority="104">
      <formula>$H$91 = 0</formula>
    </cfRule>
    <cfRule type="expression" dxfId="2072" priority="105">
      <formula>$H$91 &lt; 0</formula>
    </cfRule>
  </conditionalFormatting>
  <conditionalFormatting sqref="J69:L70 K91:L91">
    <cfRule type="expression" dxfId="2071" priority="100">
      <formula>$K$91 &gt; 0</formula>
    </cfRule>
    <cfRule type="expression" dxfId="2070" priority="101">
      <formula>$K$91 = 0</formula>
    </cfRule>
    <cfRule type="expression" dxfId="2069" priority="102">
      <formula>$K$91 &lt; 0</formula>
    </cfRule>
  </conditionalFormatting>
  <conditionalFormatting sqref="M69:O70 N91:O91">
    <cfRule type="expression" dxfId="2068" priority="97">
      <formula>$N$91 &gt; 0</formula>
    </cfRule>
    <cfRule type="expression" dxfId="2067" priority="98">
      <formula>$N$91 = 0</formula>
    </cfRule>
    <cfRule type="expression" dxfId="2066" priority="99">
      <formula>$N$91 &lt; 0</formula>
    </cfRule>
  </conditionalFormatting>
  <conditionalFormatting sqref="A98:C117 M98:O117">
    <cfRule type="expression" dxfId="2065" priority="85">
      <formula>AND($N98 &gt; 0, ISNUMBER($N98))</formula>
    </cfRule>
    <cfRule type="expression" dxfId="2064" priority="86">
      <formula>AND($N98 = 0 * ISNUMBER($N98))</formula>
    </cfRule>
    <cfRule type="expression" dxfId="2063" priority="87">
      <formula>AND($N98 &lt; 0, ISNUMBER($N98))</formula>
    </cfRule>
  </conditionalFormatting>
  <conditionalFormatting sqref="A98:F117">
    <cfRule type="expression" dxfId="2062" priority="94">
      <formula>AND($E98 &gt; 0, ISNUMBER($E98))</formula>
    </cfRule>
    <cfRule type="expression" dxfId="2061" priority="95">
      <formula>AND($E98 = 0 * ISNUMBER($E98))</formula>
    </cfRule>
    <cfRule type="expression" dxfId="2060" priority="96">
      <formula>AND($E98 &lt; 0, ISNUMBER($E98))</formula>
    </cfRule>
  </conditionalFormatting>
  <conditionalFormatting sqref="A98:C117 G98:I117">
    <cfRule type="expression" dxfId="2059" priority="91">
      <formula>AND($H98 &gt; 0, ISNUMBER($H98))</formula>
    </cfRule>
    <cfRule type="expression" dxfId="2058" priority="92">
      <formula>AND($H98 = 0 * ISNUMBER($H98))</formula>
    </cfRule>
    <cfRule type="expression" dxfId="2057" priority="93">
      <formula>AND($H98 &lt; 0, ISNUMBER($H98))</formula>
    </cfRule>
  </conditionalFormatting>
  <conditionalFormatting sqref="A98:C117 J98:L117">
    <cfRule type="expression" dxfId="2056" priority="88">
      <formula>AND($K98 &gt; 0, ISNUMBER($K98))</formula>
    </cfRule>
    <cfRule type="expression" dxfId="2055" priority="89">
      <formula>AND($K98 = 0 * ISNUMBER($K98))</formula>
    </cfRule>
    <cfRule type="expression" dxfId="2054" priority="90">
      <formula>AND($K98 &lt; 0, ISNUMBER($K98))</formula>
    </cfRule>
  </conditionalFormatting>
  <conditionalFormatting sqref="D96:F97 E118:F118">
    <cfRule type="expression" dxfId="2053" priority="82">
      <formula>$E$118 &gt; 0</formula>
    </cfRule>
    <cfRule type="expression" dxfId="2052" priority="83">
      <formula>$E$118 = 0</formula>
    </cfRule>
    <cfRule type="expression" dxfId="2051" priority="84">
      <formula>$E$118 &lt; 0</formula>
    </cfRule>
  </conditionalFormatting>
  <conditionalFormatting sqref="G96:I97 H118:I118">
    <cfRule type="expression" dxfId="2050" priority="79">
      <formula>$H$118 &gt; 0</formula>
    </cfRule>
    <cfRule type="expression" dxfId="2049" priority="80">
      <formula>$H$118 = 0</formula>
    </cfRule>
    <cfRule type="expression" dxfId="2048" priority="81">
      <formula>$H$118 &lt; 0</formula>
    </cfRule>
  </conditionalFormatting>
  <conditionalFormatting sqref="J96:L97 K118:L118">
    <cfRule type="expression" dxfId="2047" priority="76">
      <formula>$K$118 &gt; 0</formula>
    </cfRule>
    <cfRule type="expression" dxfId="2046" priority="77">
      <formula>$K$118 = 0</formula>
    </cfRule>
    <cfRule type="expression" dxfId="2045" priority="78">
      <formula>$K$118 &lt; 0</formula>
    </cfRule>
  </conditionalFormatting>
  <conditionalFormatting sqref="M96:O97 N118:O118">
    <cfRule type="expression" dxfId="2044" priority="73">
      <formula>$N$118 &gt; 0</formula>
    </cfRule>
    <cfRule type="expression" dxfId="2043" priority="74">
      <formula>$N$118 = 0</formula>
    </cfRule>
    <cfRule type="expression" dxfId="2042" priority="75">
      <formula>$N$118 &lt; 0</formula>
    </cfRule>
  </conditionalFormatting>
  <conditionalFormatting sqref="A125:C144 M125:O144">
    <cfRule type="expression" dxfId="2041" priority="61">
      <formula>AND($N125 &gt; 0, ISNUMBER($N125))</formula>
    </cfRule>
    <cfRule type="expression" dxfId="2040" priority="62">
      <formula>AND($N125 = 0 * ISNUMBER($N125))</formula>
    </cfRule>
    <cfRule type="expression" dxfId="2039" priority="63">
      <formula>AND($N125 &lt; 0, ISNUMBER($N125))</formula>
    </cfRule>
  </conditionalFormatting>
  <conditionalFormatting sqref="A125:F144">
    <cfRule type="expression" dxfId="2038" priority="70">
      <formula>AND($E125 &gt; 0, ISNUMBER($E125))</formula>
    </cfRule>
    <cfRule type="expression" dxfId="2037" priority="71">
      <formula>AND($E125 = 0 * ISNUMBER($E125))</formula>
    </cfRule>
    <cfRule type="expression" dxfId="2036" priority="72">
      <formula>AND($E125 &lt; 0, ISNUMBER($E125))</formula>
    </cfRule>
  </conditionalFormatting>
  <conditionalFormatting sqref="A125:C144 G125:I144">
    <cfRule type="expression" dxfId="2035" priority="67">
      <formula>AND($H125 &gt; 0, ISNUMBER($H125))</formula>
    </cfRule>
    <cfRule type="expression" dxfId="2034" priority="68">
      <formula>AND($H125 = 0 * ISNUMBER($H125))</formula>
    </cfRule>
    <cfRule type="expression" dxfId="2033" priority="69">
      <formula>AND($H125 &lt; 0, ISNUMBER($H125))</formula>
    </cfRule>
  </conditionalFormatting>
  <conditionalFormatting sqref="A125:C144 J125:L144">
    <cfRule type="expression" dxfId="2032" priority="64">
      <formula>AND($K125 &gt; 0, ISNUMBER($K125))</formula>
    </cfRule>
    <cfRule type="expression" dxfId="2031" priority="65">
      <formula>AND($K125 = 0 * ISNUMBER($K125))</formula>
    </cfRule>
    <cfRule type="expression" dxfId="2030" priority="66">
      <formula>AND($K125 &lt; 0, ISNUMBER($K125))</formula>
    </cfRule>
  </conditionalFormatting>
  <conditionalFormatting sqref="D123:F124 E145:F145">
    <cfRule type="expression" dxfId="2029" priority="58">
      <formula>$E$145 &gt; 0</formula>
    </cfRule>
    <cfRule type="expression" dxfId="2028" priority="59">
      <formula>$E$145 = 0</formula>
    </cfRule>
    <cfRule type="expression" dxfId="2027" priority="60">
      <formula>$E$145 &lt; 0</formula>
    </cfRule>
  </conditionalFormatting>
  <conditionalFormatting sqref="G123:I124 H145:I145">
    <cfRule type="expression" dxfId="2026" priority="55">
      <formula>$H$145 &gt; 0</formula>
    </cfRule>
    <cfRule type="expression" dxfId="2025" priority="56">
      <formula>$H$145 = 0</formula>
    </cfRule>
    <cfRule type="expression" dxfId="2024" priority="57">
      <formula>$H$145 &lt; 0</formula>
    </cfRule>
  </conditionalFormatting>
  <conditionalFormatting sqref="J123:L124 K145:L145">
    <cfRule type="expression" dxfId="2023" priority="52">
      <formula>$K$145 &gt; 0</formula>
    </cfRule>
    <cfRule type="expression" dxfId="2022" priority="53">
      <formula>$K$145 = 0</formula>
    </cfRule>
    <cfRule type="expression" dxfId="2021" priority="54">
      <formula>$K$145 &lt; 0</formula>
    </cfRule>
  </conditionalFormatting>
  <conditionalFormatting sqref="M123:O124 N145:O145">
    <cfRule type="expression" dxfId="2020" priority="49">
      <formula>$N$145 &gt; 0</formula>
    </cfRule>
    <cfRule type="expression" dxfId="2019" priority="50">
      <formula>$N$145 = 0</formula>
    </cfRule>
    <cfRule type="expression" dxfId="2018" priority="51">
      <formula>$N$145 &lt; 0</formula>
    </cfRule>
  </conditionalFormatting>
  <conditionalFormatting sqref="A152:C171 M152:O171">
    <cfRule type="expression" dxfId="2017" priority="37">
      <formula>AND($N152 &gt; 0, ISNUMBER($N152))</formula>
    </cfRule>
    <cfRule type="expression" dxfId="2016" priority="38">
      <formula>AND($N152 = 0 * ISNUMBER($N152))</formula>
    </cfRule>
    <cfRule type="expression" dxfId="2015" priority="39">
      <formula>AND($N152 &lt; 0, ISNUMBER($N152))</formula>
    </cfRule>
  </conditionalFormatting>
  <conditionalFormatting sqref="A152:F171">
    <cfRule type="expression" dxfId="2014" priority="46">
      <formula>AND($E152 &gt; 0, ISNUMBER($E152))</formula>
    </cfRule>
    <cfRule type="expression" dxfId="2013" priority="47">
      <formula>AND($E152 = 0 * ISNUMBER($E152))</formula>
    </cfRule>
    <cfRule type="expression" dxfId="2012" priority="48">
      <formula>AND($E152 &lt; 0, ISNUMBER($E152))</formula>
    </cfRule>
  </conditionalFormatting>
  <conditionalFormatting sqref="A152:C171 G152:I171">
    <cfRule type="expression" dxfId="2011" priority="43">
      <formula>AND($H152 &gt; 0, ISNUMBER($H152))</formula>
    </cfRule>
    <cfRule type="expression" dxfId="2010" priority="44">
      <formula>AND($H152 = 0 * ISNUMBER($H152))</formula>
    </cfRule>
    <cfRule type="expression" dxfId="2009" priority="45">
      <formula>AND($H152 &lt; 0, ISNUMBER($H152))</formula>
    </cfRule>
  </conditionalFormatting>
  <conditionalFormatting sqref="A152:C171 J152:L171">
    <cfRule type="expression" dxfId="2008" priority="40">
      <formula>AND($K152 &gt; 0, ISNUMBER($K152))</formula>
    </cfRule>
    <cfRule type="expression" dxfId="2007" priority="41">
      <formula>AND($K152 = 0 * ISNUMBER($K152))</formula>
    </cfRule>
    <cfRule type="expression" dxfId="2006" priority="42">
      <formula>AND($K152 &lt; 0, ISNUMBER($K152))</formula>
    </cfRule>
  </conditionalFormatting>
  <conditionalFormatting sqref="D150:F151 E172:F172">
    <cfRule type="expression" dxfId="2005" priority="34">
      <formula>$E$172 &gt; 0</formula>
    </cfRule>
    <cfRule type="expression" dxfId="2004" priority="35">
      <formula>$E$172 = 0</formula>
    </cfRule>
    <cfRule type="expression" dxfId="2003" priority="36">
      <formula>$E$172 &lt; 0</formula>
    </cfRule>
  </conditionalFormatting>
  <conditionalFormatting sqref="G150:I151 H172:I172">
    <cfRule type="expression" dxfId="2002" priority="31">
      <formula>$H$172 &gt; 0</formula>
    </cfRule>
    <cfRule type="expression" dxfId="2001" priority="32">
      <formula>$H$172 = 0</formula>
    </cfRule>
    <cfRule type="expression" dxfId="2000" priority="33">
      <formula>$H$172 &lt; 0</formula>
    </cfRule>
  </conditionalFormatting>
  <conditionalFormatting sqref="J150:L151 K172:L172">
    <cfRule type="expression" dxfId="1999" priority="28">
      <formula>$K$172 &gt; 0</formula>
    </cfRule>
    <cfRule type="expression" dxfId="1998" priority="29">
      <formula>$K$172 = 0</formula>
    </cfRule>
    <cfRule type="expression" dxfId="1997" priority="30">
      <formula>$K$172 &lt; 0</formula>
    </cfRule>
  </conditionalFormatting>
  <conditionalFormatting sqref="M150:O151 N172:O172">
    <cfRule type="expression" dxfId="1996" priority="25">
      <formula>$N$172 &gt; 0</formula>
    </cfRule>
    <cfRule type="expression" dxfId="1995" priority="26">
      <formula>$N$172 = 0</formula>
    </cfRule>
    <cfRule type="expression" dxfId="1994" priority="27">
      <formula>$N$172 &lt; 0</formula>
    </cfRule>
  </conditionalFormatting>
  <conditionalFormatting sqref="A179:C198 M179:O198">
    <cfRule type="expression" dxfId="1993" priority="13">
      <formula>AND($N179 &gt; 0, ISNUMBER($N179))</formula>
    </cfRule>
    <cfRule type="expression" dxfId="1992" priority="14">
      <formula>AND($N179 = 0 * ISNUMBER($N179))</formula>
    </cfRule>
    <cfRule type="expression" dxfId="1991" priority="15">
      <formula>AND($N179 &lt; 0, ISNUMBER($N179))</formula>
    </cfRule>
  </conditionalFormatting>
  <conditionalFormatting sqref="A179:F198">
    <cfRule type="expression" dxfId="1990" priority="22">
      <formula>AND($E179 &gt; 0, ISNUMBER($E179))</formula>
    </cfRule>
    <cfRule type="expression" dxfId="1989" priority="23">
      <formula>AND($E179 = 0 * ISNUMBER($E179))</formula>
    </cfRule>
    <cfRule type="expression" dxfId="1988" priority="24">
      <formula>AND($E179 &lt; 0, ISNUMBER($E179))</formula>
    </cfRule>
  </conditionalFormatting>
  <conditionalFormatting sqref="A179:C198 G179:I198">
    <cfRule type="expression" dxfId="1987" priority="19">
      <formula>AND($H179 &gt; 0, ISNUMBER($H179))</formula>
    </cfRule>
    <cfRule type="expression" dxfId="1986" priority="20">
      <formula>AND($H179 = 0 * ISNUMBER($H179))</formula>
    </cfRule>
    <cfRule type="expression" dxfId="1985" priority="21">
      <formula>AND($H179 &lt; 0, ISNUMBER($H179))</formula>
    </cfRule>
  </conditionalFormatting>
  <conditionalFormatting sqref="A179:C198 J179:L198">
    <cfRule type="expression" dxfId="1984" priority="16">
      <formula>AND($K179 &gt; 0, ISNUMBER($K179))</formula>
    </cfRule>
    <cfRule type="expression" dxfId="1983" priority="17">
      <formula>AND($K179 = 0 * ISNUMBER($K179))</formula>
    </cfRule>
    <cfRule type="expression" dxfId="1982" priority="18">
      <formula>AND($K179 &lt; 0, ISNUMBER($K179))</formula>
    </cfRule>
  </conditionalFormatting>
  <conditionalFormatting sqref="D177:F178 E199:F199">
    <cfRule type="expression" dxfId="1981" priority="10">
      <formula>$E$199 &gt; 0</formula>
    </cfRule>
    <cfRule type="expression" dxfId="1980" priority="11">
      <formula>$E$199 = 0</formula>
    </cfRule>
    <cfRule type="expression" dxfId="1979" priority="12">
      <formula>$E$199 &lt; 0</formula>
    </cfRule>
  </conditionalFormatting>
  <conditionalFormatting sqref="G177:I178 H199:I199">
    <cfRule type="expression" dxfId="1978" priority="7">
      <formula>$H$199 &gt; 0</formula>
    </cfRule>
    <cfRule type="expression" dxfId="1977" priority="8">
      <formula>$H$199 = 0</formula>
    </cfRule>
    <cfRule type="expression" dxfId="1976" priority="9">
      <formula>$H$199 &lt; 0</formula>
    </cfRule>
  </conditionalFormatting>
  <conditionalFormatting sqref="J177:L178 K199:L199">
    <cfRule type="expression" dxfId="1975" priority="4">
      <formula>$K$199 &gt; 0</formula>
    </cfRule>
    <cfRule type="expression" dxfId="1974" priority="5">
      <formula>$K$199 = 0</formula>
    </cfRule>
    <cfRule type="expression" dxfId="1973" priority="6">
      <formula>$K$199 &lt; 0</formula>
    </cfRule>
  </conditionalFormatting>
  <conditionalFormatting sqref="M177:O178 N199:O199">
    <cfRule type="expression" dxfId="1972" priority="1">
      <formula>$N$199 &gt; 0</formula>
    </cfRule>
    <cfRule type="expression" dxfId="1971" priority="2">
      <formula>$N$199 = 0</formula>
    </cfRule>
    <cfRule type="expression" dxfId="19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2AD3F-3524-4AEE-A677-D6D869C82976}">
  <sheetPr codeName="Sheet12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9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9" t="s">
        <v>0</v>
      </c>
      <c r="B1" s="250"/>
      <c r="C1" s="250"/>
      <c r="D1" s="250"/>
      <c r="E1" s="250"/>
      <c r="F1" s="251"/>
      <c r="G1" s="252">
        <v>44322</v>
      </c>
      <c r="H1" s="253"/>
      <c r="I1" s="254"/>
      <c r="J1" s="249" t="s">
        <v>1</v>
      </c>
      <c r="K1" s="250"/>
      <c r="L1" s="250"/>
      <c r="M1" s="250"/>
      <c r="N1" s="250"/>
      <c r="O1" s="251"/>
      <c r="Q1" s="249" t="s">
        <v>2</v>
      </c>
      <c r="R1" s="251"/>
    </row>
    <row r="2" spans="1:19" ht="17.25" customHeight="1">
      <c r="A2" s="116" t="s">
        <v>3</v>
      </c>
      <c r="B2" s="255" t="s">
        <v>4</v>
      </c>
      <c r="C2" s="256"/>
      <c r="D2" s="256"/>
      <c r="E2" s="256"/>
      <c r="F2" s="257"/>
      <c r="G2" s="258" t="s">
        <v>46</v>
      </c>
      <c r="H2" s="259"/>
      <c r="I2" s="260"/>
      <c r="J2" s="1" t="s">
        <v>3</v>
      </c>
      <c r="K2" s="255" t="s">
        <v>5</v>
      </c>
      <c r="L2" s="256"/>
      <c r="M2" s="256"/>
      <c r="N2" s="256"/>
      <c r="O2" s="257"/>
      <c r="Q2" s="2" t="s">
        <v>6</v>
      </c>
      <c r="R2" s="3">
        <v>0.375</v>
      </c>
    </row>
    <row r="3" spans="1:19" ht="17.25" customHeight="1" thickBot="1">
      <c r="A3" s="117" t="s">
        <v>7</v>
      </c>
      <c r="B3" s="261" t="s">
        <v>8</v>
      </c>
      <c r="C3" s="262"/>
      <c r="D3" s="262"/>
      <c r="E3" s="262"/>
      <c r="F3" s="263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348,323 KRW (11.61%)</v>
      </c>
      <c r="H3" s="265"/>
      <c r="I3" s="266"/>
      <c r="J3" s="4" t="s">
        <v>7</v>
      </c>
      <c r="K3" s="261" t="s">
        <v>9</v>
      </c>
      <c r="L3" s="262"/>
      <c r="M3" s="262"/>
      <c r="N3" s="262"/>
      <c r="O3" s="263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61" t="s">
        <v>12</v>
      </c>
      <c r="C4" s="262"/>
      <c r="D4" s="262"/>
      <c r="E4" s="262"/>
      <c r="F4" s="263"/>
      <c r="G4" s="258" t="s">
        <v>44</v>
      </c>
      <c r="H4" s="259"/>
      <c r="I4" s="260"/>
      <c r="J4" s="4" t="s">
        <v>11</v>
      </c>
      <c r="K4" s="261" t="s">
        <v>13</v>
      </c>
      <c r="L4" s="262"/>
      <c r="M4" s="262"/>
      <c r="N4" s="262"/>
      <c r="O4" s="263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61" t="s">
        <v>16</v>
      </c>
      <c r="C5" s="262"/>
      <c r="D5" s="262"/>
      <c r="E5" s="262"/>
      <c r="F5" s="263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-14,260 KRW (-0.53%)</v>
      </c>
      <c r="H5" s="265"/>
      <c r="I5" s="266"/>
      <c r="J5" s="4" t="s">
        <v>15</v>
      </c>
      <c r="K5" s="261" t="s">
        <v>17</v>
      </c>
      <c r="L5" s="262"/>
      <c r="M5" s="262"/>
      <c r="N5" s="262"/>
      <c r="O5" s="263"/>
    </row>
    <row r="6" spans="1:19">
      <c r="A6" s="117" t="s">
        <v>18</v>
      </c>
      <c r="B6" s="261" t="s">
        <v>19</v>
      </c>
      <c r="C6" s="262"/>
      <c r="D6" s="262"/>
      <c r="E6" s="262"/>
      <c r="F6" s="263"/>
      <c r="G6" s="258" t="s">
        <v>45</v>
      </c>
      <c r="H6" s="259"/>
      <c r="I6" s="260"/>
      <c r="J6" s="4" t="s">
        <v>18</v>
      </c>
      <c r="K6" s="261" t="s">
        <v>20</v>
      </c>
      <c r="L6" s="262"/>
      <c r="M6" s="262"/>
      <c r="N6" s="262"/>
      <c r="O6" s="263"/>
    </row>
    <row r="7" spans="1:19" ht="17.25" thickBot="1">
      <c r="A7" s="117" t="s">
        <v>21</v>
      </c>
      <c r="B7" s="261" t="s">
        <v>22</v>
      </c>
      <c r="C7" s="262"/>
      <c r="D7" s="262"/>
      <c r="E7" s="262"/>
      <c r="F7" s="263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157,027 KRW (5.23%)</v>
      </c>
      <c r="H7" s="265"/>
      <c r="I7" s="266"/>
      <c r="J7" s="4" t="s">
        <v>21</v>
      </c>
      <c r="K7" s="261" t="s">
        <v>23</v>
      </c>
      <c r="L7" s="262"/>
      <c r="M7" s="262"/>
      <c r="N7" s="262"/>
      <c r="O7" s="263"/>
    </row>
    <row r="8" spans="1:19" ht="17.25" thickBot="1">
      <c r="A8" s="117" t="s">
        <v>24</v>
      </c>
      <c r="B8" s="261" t="s">
        <v>25</v>
      </c>
      <c r="C8" s="262"/>
      <c r="D8" s="262"/>
      <c r="E8" s="262"/>
      <c r="F8" s="263"/>
      <c r="G8" s="258" t="s">
        <v>285</v>
      </c>
      <c r="H8" s="259"/>
      <c r="I8" s="260"/>
      <c r="J8" s="4" t="s">
        <v>24</v>
      </c>
      <c r="K8" s="261" t="s">
        <v>26</v>
      </c>
      <c r="L8" s="262"/>
      <c r="M8" s="262"/>
      <c r="N8" s="262"/>
      <c r="O8" s="263"/>
      <c r="Q8" s="249" t="s">
        <v>27</v>
      </c>
      <c r="R8" s="251"/>
    </row>
    <row r="9" spans="1:19" ht="17.25" thickBot="1">
      <c r="A9" s="117" t="s">
        <v>28</v>
      </c>
      <c r="B9" s="261"/>
      <c r="C9" s="262"/>
      <c r="D9" s="262"/>
      <c r="E9" s="262"/>
      <c r="F9" s="263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1,064 KRW (0.04%)</v>
      </c>
      <c r="H9" s="265"/>
      <c r="I9" s="266"/>
      <c r="J9" s="4" t="s">
        <v>28</v>
      </c>
      <c r="K9" s="261" t="s">
        <v>293</v>
      </c>
      <c r="L9" s="262"/>
      <c r="M9" s="262"/>
      <c r="N9" s="262"/>
      <c r="O9" s="263"/>
      <c r="Q9" s="2" t="s">
        <v>29</v>
      </c>
      <c r="R9" s="6">
        <v>10</v>
      </c>
    </row>
    <row r="10" spans="1:19">
      <c r="A10" s="117" t="s">
        <v>30</v>
      </c>
      <c r="B10" s="261"/>
      <c r="C10" s="262"/>
      <c r="D10" s="262"/>
      <c r="E10" s="262"/>
      <c r="F10" s="263"/>
      <c r="G10" s="258" t="s">
        <v>47</v>
      </c>
      <c r="H10" s="259"/>
      <c r="I10" s="260"/>
      <c r="J10" s="4" t="s">
        <v>30</v>
      </c>
      <c r="K10" s="261"/>
      <c r="L10" s="262"/>
      <c r="M10" s="262"/>
      <c r="N10" s="262"/>
      <c r="O10" s="263"/>
      <c r="Q10" s="2" t="s">
        <v>31</v>
      </c>
      <c r="R10" s="6">
        <v>100</v>
      </c>
    </row>
    <row r="11" spans="1:19" ht="17.25" thickBot="1">
      <c r="A11" s="118" t="s">
        <v>32</v>
      </c>
      <c r="B11" s="267"/>
      <c r="C11" s="268"/>
      <c r="D11" s="268"/>
      <c r="E11" s="268"/>
      <c r="F11" s="269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353,374 KRW (11.78%)</v>
      </c>
      <c r="H11" s="265"/>
      <c r="I11" s="266"/>
      <c r="J11" s="7" t="s">
        <v>32</v>
      </c>
      <c r="K11" s="267"/>
      <c r="L11" s="268"/>
      <c r="M11" s="268"/>
      <c r="N11" s="268"/>
      <c r="O11" s="269"/>
      <c r="Q11" s="61" t="s">
        <v>33</v>
      </c>
      <c r="R11" s="8">
        <v>1000</v>
      </c>
    </row>
    <row r="12" spans="1:19" ht="17.25" thickBot="1"/>
    <row r="13" spans="1:19" ht="17.25" customHeight="1" thickBot="1">
      <c r="A13" s="249" t="s">
        <v>34</v>
      </c>
      <c r="B13" s="250"/>
      <c r="C13" s="250"/>
      <c r="D13" s="250"/>
      <c r="E13" s="250"/>
      <c r="F13" s="250"/>
      <c r="G13" s="250"/>
      <c r="H13" s="250"/>
      <c r="I13" s="250"/>
      <c r="J13" s="250"/>
      <c r="K13" s="250"/>
      <c r="L13" s="250"/>
      <c r="M13" s="250"/>
      <c r="N13" s="250"/>
      <c r="O13" s="251"/>
      <c r="Q13" s="270"/>
      <c r="R13" s="270"/>
      <c r="S13" s="270"/>
    </row>
    <row r="14" spans="1:19" ht="17.25" customHeight="1" thickBot="1">
      <c r="A14" s="159" t="s">
        <v>35</v>
      </c>
      <c r="B14" s="249" t="s">
        <v>36</v>
      </c>
      <c r="C14" s="251"/>
      <c r="D14" s="249" t="s">
        <v>37</v>
      </c>
      <c r="E14" s="250"/>
      <c r="F14" s="251"/>
      <c r="G14" s="276">
        <f>_xlfn.IFNA(VLOOKUP(B14, 현재가테이블!$B$2:$D$200, 2, FALSE), "-")</f>
        <v>60874000</v>
      </c>
      <c r="H14" s="277"/>
      <c r="I14" s="278"/>
      <c r="J14" s="249" t="s">
        <v>38</v>
      </c>
      <c r="K14" s="250"/>
      <c r="L14" s="251"/>
      <c r="M14" s="279">
        <f>_xlfn.IFNA(VLOOKUP(B14, 현재가테이블!$B$2:$D$200, 3, FALSE), "-")</f>
        <v>-1.4936000099999999E-2</v>
      </c>
      <c r="N14" s="280"/>
      <c r="O14" s="281"/>
      <c r="Q14" s="270"/>
      <c r="R14" s="270"/>
      <c r="S14" s="270"/>
    </row>
    <row r="15" spans="1:19" ht="17.25" customHeight="1" thickBot="1">
      <c r="A15" s="314" t="s">
        <v>39</v>
      </c>
      <c r="B15" s="315" t="str">
        <f>TEXT($G$1, "[$-ko-KR]yyyy-mm-dd(ddd) ") &amp; "오전 00:00"</f>
        <v>2021-05-06(목) 오전 00:00</v>
      </c>
      <c r="C15" s="316"/>
      <c r="D15" s="272" t="str">
        <f>TEXT($G$1, "[$-ko-KR]yyyy-mm-dd(ddd) ") &amp; "오후 14:00"</f>
        <v>2021-05-06(목) 오후 14:00</v>
      </c>
      <c r="E15" s="273"/>
      <c r="F15" s="274"/>
      <c r="G15" s="272" t="str">
        <f>TEXT($G$1, "[$-ko-KR]yyyy-mm-dd(ddd) ") &amp; "오후 19:00"</f>
        <v>2021-05-06(목) 오후 19:00</v>
      </c>
      <c r="H15" s="273"/>
      <c r="I15" s="274"/>
      <c r="J15" s="272" t="str">
        <f>TEXT($G$1, "[$-ko-KR]yyyy-mm-dd(ddd) ") &amp; "오후 21:00"</f>
        <v>2021-05-06(목) 오후 21:00</v>
      </c>
      <c r="K15" s="273"/>
      <c r="L15" s="274"/>
      <c r="M15" s="272" t="str">
        <f>TEXT($G$1+1, "[$-ko-KR]yyyy-mm-dd(ddd) ") &amp; "오전 00:00"</f>
        <v>2021-05-07(금) 오전 00:00</v>
      </c>
      <c r="N15" s="273"/>
      <c r="O15" s="274"/>
      <c r="Q15" s="270"/>
      <c r="R15" s="270"/>
      <c r="S15" s="270"/>
    </row>
    <row r="16" spans="1:19" ht="17.25" customHeight="1" thickBot="1">
      <c r="A16" s="314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0" t="s">
        <v>37</v>
      </c>
      <c r="H16" s="161" t="s">
        <v>40</v>
      </c>
      <c r="I16" s="162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75"/>
      <c r="R16" s="275"/>
      <c r="S16" s="275"/>
    </row>
    <row r="17" spans="1:19" ht="17.25" customHeight="1" thickBot="1">
      <c r="A17" s="122" t="s">
        <v>78</v>
      </c>
      <c r="B17" s="123">
        <f>IF(NOT(ISBLANK(_xlfn.IFNA(VLOOKUP($A17, $A$40:$O$199, 2, FALSE), ))), _xlfn.IFNA(VLOOKUP($A17, $A$40:$O$199, 2, FALSE), ), "")</f>
        <v>1497500</v>
      </c>
      <c r="C17" s="72">
        <f>IF(NOT(ISBLANK(_xlfn.IFNA(VLOOKUP($A17, $A$40:$O$199, 3, FALSE), ))), _xlfn.IFNA(VLOOKUP($A17, $A$40:$O$199, 3, FALSE), ), "")</f>
        <v>0.24377076410000001</v>
      </c>
      <c r="D17" s="13">
        <f>IF(NOT(ISBLANK(_xlfn.IFNA(VLOOKUP($A17, $A$40:$O$199, 4, FALSE), ))), _xlfn.IFNA(VLOOKUP($A17, $A$40:$O$199, 4, FALSE), ), "")</f>
        <v>1710000</v>
      </c>
      <c r="E17" s="14">
        <f>IF(NOT(ISBLANK(_xlfn.IFNA(VLOOKUP($A17, $A$40:$O$199, 5, FALSE), ))), _xlfn.IFNA(VLOOKUP($A17, $A$40:$O$199, 5, FALSE), ), "")</f>
        <v>0.14190317195325541</v>
      </c>
      <c r="F17" s="16">
        <f>IF(NOT(ISBLANK(_xlfn.IFNA(VLOOKUP($A17, $A$40:$O$199, 6, FALSE), ))), _xlfn.IFNA(VLOOKUP($A17, $A$40:$O$199, 6, FALSE), ), "")</f>
        <v>21285.475792988313</v>
      </c>
      <c r="G17" s="29">
        <f>IF(NOT(ISBLANK(_xlfn.IFNA(VLOOKUP($A17, $A$40:$O$199, 7, FALSE), ))), _xlfn.IFNA(VLOOKUP($A17, $A$40:$O$199, 7, FALSE), ), "")</f>
        <v>1652500</v>
      </c>
      <c r="H17" s="14">
        <f>IF(NOT(ISBLANK(_xlfn.IFNA(VLOOKUP($A17, $A$40:$O$199, 8, FALSE), ))), _xlfn.IFNA(VLOOKUP($A17, $A$40:$O$199, 8, FALSE), ), "")</f>
        <v>0.10350584307178631</v>
      </c>
      <c r="I17" s="96">
        <f>IF(NOT(ISBLANK(_xlfn.IFNA(VLOOKUP($A17, $A$40:$O$199, 9, FALSE), ))), _xlfn.IFNA(VLOOKUP($A17, $A$40:$O$199, 9, FALSE), ), "")</f>
        <v>15525.876460767948</v>
      </c>
      <c r="J17" s="13">
        <f>IF(NOT(ISBLANK(_xlfn.IFNA(VLOOKUP($A17, $A$40:$O$199, 10, FALSE), ))), _xlfn.IFNA(VLOOKUP($A17, $A$40:$O$199, 10, FALSE), ), "")</f>
        <v>1732500</v>
      </c>
      <c r="K17" s="14">
        <f>IF(NOT(ISBLANK(_xlfn.IFNA(VLOOKUP($A17, $A$40:$O$199, 11, FALSE), ))), _xlfn.IFNA(VLOOKUP($A17, $A$40:$O$199, 11, FALSE), ), "")</f>
        <v>0.15692821368948248</v>
      </c>
      <c r="L17" s="16">
        <f>IF(NOT(ISBLANK(_xlfn.IFNA(VLOOKUP($A17, $A$40:$O$199, 12, FALSE), ))), _xlfn.IFNA(VLOOKUP($A17, $A$40:$O$199, 12, FALSE), ), "")</f>
        <v>23539.232053422373</v>
      </c>
      <c r="M17" s="29">
        <f>IF(NOT(ISBLANK(_xlfn.IFNA(VLOOKUP($A17, $A$40:$O$199, 13, FALSE), ))), _xlfn.IFNA(VLOOKUP($A17, $A$40:$O$199, 13, FALSE), ), "")</f>
        <v>1707500</v>
      </c>
      <c r="N17" s="14">
        <f>IF(NOT(ISBLANK(_xlfn.IFNA(VLOOKUP($A17, $A$40:$O$199, 14, FALSE), ))), _xlfn.IFNA(VLOOKUP($A17, $A$40:$O$199, 14, FALSE), ), "")</f>
        <v>0.14023372287145242</v>
      </c>
      <c r="O17" s="16">
        <f>IF(NOT(ISBLANK(_xlfn.IFNA(VLOOKUP($A17, $A$40:$O$199, 15, FALSE), ))), _xlfn.IFNA(VLOOKUP($A17, $A$40:$O$199, 15, FALSE), ), "")</f>
        <v>21035.058430717861</v>
      </c>
      <c r="Q17" s="270"/>
      <c r="R17" s="270"/>
      <c r="S17" s="270"/>
    </row>
    <row r="18" spans="1:19" ht="17.25" customHeight="1" thickBot="1">
      <c r="A18" s="124" t="s">
        <v>321</v>
      </c>
      <c r="B18" s="125">
        <f t="shared" ref="B18:B36" si="0">IF(NOT(ISBLANK(_xlfn.IFNA(VLOOKUP($A18, $A$40:$O$199, 2, FALSE), ))), _xlfn.IFNA(VLOOKUP($A18, $A$40:$O$199, 2, FALSE), ), "")</f>
        <v>65.5</v>
      </c>
      <c r="C18" s="73">
        <f t="shared" ref="C18:C36" si="1">IF(NOT(ISBLANK(_xlfn.IFNA(VLOOKUP($A18, $A$40:$O$199, 3, FALSE), ))), _xlfn.IFNA(VLOOKUP($A18, $A$40:$O$199, 3, FALSE), ), "")</f>
        <v>6.5040650399999997E-2</v>
      </c>
      <c r="D18" s="15">
        <f t="shared" ref="D18:D36" si="2">IF(NOT(ISBLANK(_xlfn.IFNA(VLOOKUP($A18, $A$40:$O$199, 4, FALSE), ))), _xlfn.IFNA(VLOOKUP($A18, $A$40:$O$199, 4, FALSE), ), "")</f>
        <v>63.5</v>
      </c>
      <c r="E18" s="32">
        <f t="shared" ref="E18:E36" si="3">IF(NOT(ISBLANK(_xlfn.IFNA(VLOOKUP($A18, $A$40:$O$199, 5, FALSE), ))), _xlfn.IFNA(VLOOKUP($A18, $A$40:$O$199, 5, FALSE), ), "")</f>
        <v>-3.0534351145038167E-2</v>
      </c>
      <c r="F18" s="18">
        <f t="shared" ref="F18:F36" si="4">IF(NOT(ISBLANK(_xlfn.IFNA(VLOOKUP($A18, $A$40:$O$199, 6, FALSE), ))), _xlfn.IFNA(VLOOKUP($A18, $A$40:$O$199, 6, FALSE), ), "")</f>
        <v>-4580.1526717557254</v>
      </c>
      <c r="G18" s="31">
        <f t="shared" ref="G18:G36" si="5">IF(NOT(ISBLANK(_xlfn.IFNA(VLOOKUP($A18, $A$40:$O$199, 7, FALSE), ))), _xlfn.IFNA(VLOOKUP($A18, $A$40:$O$199, 7, FALSE), ), "")</f>
        <v>63.2</v>
      </c>
      <c r="H18" s="32">
        <f t="shared" ref="H18:H36" si="6">IF(NOT(ISBLANK(_xlfn.IFNA(VLOOKUP($A18, $A$40:$O$199, 8, FALSE), ))), _xlfn.IFNA(VLOOKUP($A18, $A$40:$O$199, 8, FALSE), ), "")</f>
        <v>-3.5114503816793853E-2</v>
      </c>
      <c r="I18" s="97">
        <f t="shared" ref="I18:I36" si="7">IF(NOT(ISBLANK(_xlfn.IFNA(VLOOKUP($A18, $A$40:$O$199, 9, FALSE), ))), _xlfn.IFNA(VLOOKUP($A18, $A$40:$O$199, 9, FALSE), ), "")</f>
        <v>-5267.1755725190778</v>
      </c>
      <c r="J18" s="15">
        <f t="shared" ref="J18:J36" si="8">IF(NOT(ISBLANK(_xlfn.IFNA(VLOOKUP($A18, $A$40:$O$199, 10, FALSE), ))), _xlfn.IFNA(VLOOKUP($A18, $A$40:$O$199, 10, FALSE), ), "")</f>
        <v>63.3</v>
      </c>
      <c r="K18" s="32">
        <f t="shared" ref="K18:K36" si="9">IF(NOT(ISBLANK(_xlfn.IFNA(VLOOKUP($A18, $A$40:$O$199, 11, FALSE), ))), _xlfn.IFNA(VLOOKUP($A18, $A$40:$O$199, 11, FALSE), ), "")</f>
        <v>-3.3587786259542028E-2</v>
      </c>
      <c r="L18" s="18">
        <f t="shared" ref="L18:L36" si="10">IF(NOT(ISBLANK(_xlfn.IFNA(VLOOKUP($A18, $A$40:$O$199, 12, FALSE), ))), _xlfn.IFNA(VLOOKUP($A18, $A$40:$O$199, 12, FALSE), ), "")</f>
        <v>-5038.167938931304</v>
      </c>
      <c r="M18" s="31">
        <f t="shared" ref="M18:M36" si="11">IF(NOT(ISBLANK(_xlfn.IFNA(VLOOKUP($A18, $A$40:$O$199, 13, FALSE), ))), _xlfn.IFNA(VLOOKUP($A18, $A$40:$O$199, 13, FALSE), ), "")</f>
        <v>63.3</v>
      </c>
      <c r="N18" s="32">
        <f t="shared" ref="N18:N36" si="12">IF(NOT(ISBLANK(_xlfn.IFNA(VLOOKUP($A18, $A$40:$O$199, 14, FALSE), ))), _xlfn.IFNA(VLOOKUP($A18, $A$40:$O$199, 14, FALSE), ), "")</f>
        <v>-3.3587786259542028E-2</v>
      </c>
      <c r="O18" s="18">
        <f t="shared" ref="O18:O36" si="13">IF(NOT(ISBLANK(_xlfn.IFNA(VLOOKUP($A18, $A$40:$O$199, 15, FALSE), ))), _xlfn.IFNA(VLOOKUP($A18, $A$40:$O$199, 15, FALSE), ), "")</f>
        <v>-5038.167938931304</v>
      </c>
      <c r="Q18" s="270"/>
      <c r="R18" s="270"/>
      <c r="S18" s="270"/>
    </row>
    <row r="19" spans="1:19" ht="17.25" customHeight="1" thickBot="1">
      <c r="A19" s="124" t="s">
        <v>86</v>
      </c>
      <c r="B19" s="125">
        <f t="shared" si="0"/>
        <v>9180</v>
      </c>
      <c r="C19" s="73">
        <f t="shared" si="1"/>
        <v>0.1489361702</v>
      </c>
      <c r="D19" s="15">
        <f t="shared" si="2"/>
        <v>11020</v>
      </c>
      <c r="E19" s="32">
        <f t="shared" si="3"/>
        <v>0.20043572984749455</v>
      </c>
      <c r="F19" s="18">
        <f t="shared" si="4"/>
        <v>30065.359477124184</v>
      </c>
      <c r="G19" s="31">
        <f t="shared" si="5"/>
        <v>11080</v>
      </c>
      <c r="H19" s="32">
        <f t="shared" si="6"/>
        <v>0.20697167755991286</v>
      </c>
      <c r="I19" s="97">
        <f t="shared" si="7"/>
        <v>31045.751633986929</v>
      </c>
      <c r="J19" s="15">
        <f t="shared" si="8"/>
        <v>11490</v>
      </c>
      <c r="K19" s="32">
        <f t="shared" si="9"/>
        <v>0.25163398692810457</v>
      </c>
      <c r="L19" s="18">
        <f t="shared" si="10"/>
        <v>37745.098039215685</v>
      </c>
      <c r="M19" s="31">
        <f t="shared" si="11"/>
        <v>11500</v>
      </c>
      <c r="N19" s="32">
        <f t="shared" si="12"/>
        <v>0.25272331154684097</v>
      </c>
      <c r="O19" s="18">
        <f t="shared" si="13"/>
        <v>37908.496732026142</v>
      </c>
      <c r="Q19" s="275"/>
      <c r="R19" s="275"/>
      <c r="S19" s="275"/>
    </row>
    <row r="20" spans="1:19" ht="17.25" customHeight="1" thickBot="1">
      <c r="A20" s="124" t="s">
        <v>152</v>
      </c>
      <c r="B20" s="125">
        <f t="shared" si="0"/>
        <v>51.5</v>
      </c>
      <c r="C20" s="73">
        <f t="shared" si="1"/>
        <v>0.14190687360000001</v>
      </c>
      <c r="D20" s="15">
        <f t="shared" si="2"/>
        <v>50.5</v>
      </c>
      <c r="E20" s="32">
        <f t="shared" si="3"/>
        <v>-1.9417475728155338E-2</v>
      </c>
      <c r="F20" s="18">
        <f t="shared" si="4"/>
        <v>-2912.6213592233007</v>
      </c>
      <c r="G20" s="31">
        <f t="shared" si="5"/>
        <v>50.9</v>
      </c>
      <c r="H20" s="32">
        <f t="shared" si="6"/>
        <v>-1.1650485436893232E-2</v>
      </c>
      <c r="I20" s="97">
        <f t="shared" si="7"/>
        <v>-1747.5728155339848</v>
      </c>
      <c r="J20" s="15">
        <f t="shared" si="8"/>
        <v>52.8</v>
      </c>
      <c r="K20" s="32">
        <f t="shared" si="9"/>
        <v>2.5242718446601888E-2</v>
      </c>
      <c r="L20" s="18">
        <f t="shared" si="10"/>
        <v>3786.4077669902831</v>
      </c>
      <c r="M20" s="31">
        <f t="shared" si="11"/>
        <v>52.3</v>
      </c>
      <c r="N20" s="32">
        <f t="shared" si="12"/>
        <v>1.5533980582524217E-2</v>
      </c>
      <c r="O20" s="18">
        <f t="shared" si="13"/>
        <v>2330.0970873786328</v>
      </c>
      <c r="Q20" s="275"/>
      <c r="R20" s="275"/>
      <c r="S20" s="275"/>
    </row>
    <row r="21" spans="1:19" ht="17.25" customHeight="1" thickBot="1">
      <c r="A21" s="126" t="s">
        <v>90</v>
      </c>
      <c r="B21" s="127">
        <f t="shared" si="0"/>
        <v>465900</v>
      </c>
      <c r="C21" s="74">
        <f t="shared" si="1"/>
        <v>0.13233685749999999</v>
      </c>
      <c r="D21" s="20">
        <f t="shared" si="2"/>
        <v>498700</v>
      </c>
      <c r="E21" s="21">
        <f t="shared" si="3"/>
        <v>7.0401373685340204E-2</v>
      </c>
      <c r="F21" s="22">
        <f t="shared" si="4"/>
        <v>10560.206052801032</v>
      </c>
      <c r="G21" s="30">
        <f t="shared" si="5"/>
        <v>500900</v>
      </c>
      <c r="H21" s="21">
        <f t="shared" si="6"/>
        <v>7.5123417042283758E-2</v>
      </c>
      <c r="I21" s="101">
        <f t="shared" si="7"/>
        <v>11268.512556342564</v>
      </c>
      <c r="J21" s="20">
        <f t="shared" si="8"/>
        <v>509200</v>
      </c>
      <c r="K21" s="21">
        <f t="shared" si="9"/>
        <v>9.2938398798025332E-2</v>
      </c>
      <c r="L21" s="22">
        <f t="shared" si="10"/>
        <v>13940.759819703801</v>
      </c>
      <c r="M21" s="30">
        <f t="shared" si="11"/>
        <v>505900</v>
      </c>
      <c r="N21" s="21">
        <f t="shared" si="12"/>
        <v>8.5855333762610009E-2</v>
      </c>
      <c r="O21" s="22">
        <f t="shared" si="13"/>
        <v>12878.300064391502</v>
      </c>
      <c r="Q21" s="275"/>
      <c r="R21" s="275"/>
      <c r="S21" s="275"/>
    </row>
    <row r="22" spans="1:19" ht="17.25" customHeight="1" thickBot="1">
      <c r="A22" s="124" t="s">
        <v>108</v>
      </c>
      <c r="B22" s="128">
        <f t="shared" si="0"/>
        <v>62240</v>
      </c>
      <c r="C22" s="76">
        <f t="shared" si="1"/>
        <v>0.1265158371</v>
      </c>
      <c r="D22" s="102">
        <f t="shared" si="2"/>
        <v>75040</v>
      </c>
      <c r="E22" s="103">
        <f t="shared" si="3"/>
        <v>0.20565552699228792</v>
      </c>
      <c r="F22" s="104">
        <f t="shared" si="4"/>
        <v>30848.329048843189</v>
      </c>
      <c r="G22" s="105">
        <f t="shared" si="5"/>
        <v>74000</v>
      </c>
      <c r="H22" s="103">
        <f t="shared" si="6"/>
        <v>0.18894601542416453</v>
      </c>
      <c r="I22" s="106">
        <f t="shared" si="7"/>
        <v>28341.90231362468</v>
      </c>
      <c r="J22" s="102">
        <f t="shared" si="8"/>
        <v>76620</v>
      </c>
      <c r="K22" s="103">
        <f t="shared" si="9"/>
        <v>0.23104113110539845</v>
      </c>
      <c r="L22" s="104">
        <f t="shared" si="10"/>
        <v>34656.169665809764</v>
      </c>
      <c r="M22" s="105">
        <f t="shared" si="11"/>
        <v>73110</v>
      </c>
      <c r="N22" s="103">
        <f t="shared" si="12"/>
        <v>0.17464652956298202</v>
      </c>
      <c r="O22" s="104">
        <f t="shared" si="13"/>
        <v>26196.979434447301</v>
      </c>
      <c r="Q22" s="275"/>
      <c r="R22" s="275"/>
      <c r="S22" s="275"/>
    </row>
    <row r="23" spans="1:19" ht="17.25" customHeight="1" thickBot="1">
      <c r="A23" s="124" t="s">
        <v>98</v>
      </c>
      <c r="B23" s="125">
        <f t="shared" si="0"/>
        <v>7745</v>
      </c>
      <c r="C23" s="73">
        <f t="shared" si="1"/>
        <v>0.12083936319999999</v>
      </c>
      <c r="D23" s="15">
        <f t="shared" si="2"/>
        <v>8140</v>
      </c>
      <c r="E23" s="32">
        <f t="shared" si="3"/>
        <v>5.1000645577792124E-2</v>
      </c>
      <c r="F23" s="18">
        <f t="shared" si="4"/>
        <v>7650.0968366688185</v>
      </c>
      <c r="G23" s="31">
        <f t="shared" si="5"/>
        <v>8310</v>
      </c>
      <c r="H23" s="32">
        <f t="shared" si="6"/>
        <v>7.2950290510006455E-2</v>
      </c>
      <c r="I23" s="97">
        <f t="shared" si="7"/>
        <v>10942.543576500968</v>
      </c>
      <c r="J23" s="15">
        <f t="shared" si="8"/>
        <v>8485</v>
      </c>
      <c r="K23" s="32">
        <f t="shared" si="9"/>
        <v>9.5545513234344737E-2</v>
      </c>
      <c r="L23" s="18">
        <f t="shared" si="10"/>
        <v>14331.826985151711</v>
      </c>
      <c r="M23" s="31">
        <f t="shared" si="11"/>
        <v>8825</v>
      </c>
      <c r="N23" s="32">
        <f t="shared" si="12"/>
        <v>0.13944480309877341</v>
      </c>
      <c r="O23" s="18">
        <f t="shared" si="13"/>
        <v>20916.720464816011</v>
      </c>
      <c r="Q23" s="275"/>
      <c r="R23" s="275"/>
      <c r="S23" s="275"/>
    </row>
    <row r="24" spans="1:19" ht="17.25" customHeight="1" thickBot="1">
      <c r="A24" s="124" t="s">
        <v>138</v>
      </c>
      <c r="B24" s="125">
        <f t="shared" si="0"/>
        <v>48830</v>
      </c>
      <c r="C24" s="73">
        <f t="shared" si="1"/>
        <v>0.1199541284</v>
      </c>
      <c r="D24" s="15">
        <f t="shared" si="2"/>
        <v>50150</v>
      </c>
      <c r="E24" s="32">
        <f t="shared" si="3"/>
        <v>2.7032561949621135E-2</v>
      </c>
      <c r="F24" s="18">
        <f t="shared" si="4"/>
        <v>4054.8842924431701</v>
      </c>
      <c r="G24" s="31">
        <f t="shared" si="5"/>
        <v>48220</v>
      </c>
      <c r="H24" s="32">
        <f t="shared" si="6"/>
        <v>-1.2492320294900676E-2</v>
      </c>
      <c r="I24" s="97">
        <f t="shared" si="7"/>
        <v>-1873.8480442351015</v>
      </c>
      <c r="J24" s="15">
        <f t="shared" si="8"/>
        <v>48640</v>
      </c>
      <c r="K24" s="32">
        <f t="shared" si="9"/>
        <v>-3.8910505836575876E-3</v>
      </c>
      <c r="L24" s="18">
        <f t="shared" si="10"/>
        <v>-583.65758754863816</v>
      </c>
      <c r="M24" s="31">
        <f t="shared" si="11"/>
        <v>49140</v>
      </c>
      <c r="N24" s="32">
        <f t="shared" si="12"/>
        <v>6.3485562154413271E-3</v>
      </c>
      <c r="O24" s="18">
        <f t="shared" si="13"/>
        <v>952.28343231619908</v>
      </c>
      <c r="Q24" s="275"/>
      <c r="R24" s="275"/>
      <c r="S24" s="275"/>
    </row>
    <row r="25" spans="1:19" ht="17.25" customHeight="1" thickBot="1">
      <c r="A25" s="124" t="s">
        <v>142</v>
      </c>
      <c r="B25" s="125">
        <f t="shared" si="0"/>
        <v>460</v>
      </c>
      <c r="C25" s="73">
        <f t="shared" si="1"/>
        <v>0.11380145279999999</v>
      </c>
      <c r="D25" s="15">
        <f t="shared" si="2"/>
        <v>472</v>
      </c>
      <c r="E25" s="32">
        <f t="shared" si="3"/>
        <v>2.6086956521739129E-2</v>
      </c>
      <c r="F25" s="18">
        <f t="shared" si="4"/>
        <v>3913.0434782608695</v>
      </c>
      <c r="G25" s="31">
        <f t="shared" si="5"/>
        <v>480</v>
      </c>
      <c r="H25" s="32">
        <f t="shared" si="6"/>
        <v>4.3478260869565216E-2</v>
      </c>
      <c r="I25" s="97">
        <f t="shared" si="7"/>
        <v>6521.7391304347821</v>
      </c>
      <c r="J25" s="15">
        <f t="shared" si="8"/>
        <v>476</v>
      </c>
      <c r="K25" s="32">
        <f t="shared" si="9"/>
        <v>3.4782608695652174E-2</v>
      </c>
      <c r="L25" s="18">
        <f t="shared" si="10"/>
        <v>5217.391304347826</v>
      </c>
      <c r="M25" s="31">
        <f t="shared" si="11"/>
        <v>468</v>
      </c>
      <c r="N25" s="32">
        <f t="shared" si="12"/>
        <v>1.7391304347826087E-2</v>
      </c>
      <c r="O25" s="18">
        <f t="shared" si="13"/>
        <v>2608.695652173913</v>
      </c>
      <c r="Q25" s="33"/>
      <c r="R25" s="33"/>
    </row>
    <row r="26" spans="1:19" ht="17.25" customHeight="1" thickBot="1">
      <c r="A26" s="129" t="s">
        <v>51</v>
      </c>
      <c r="B26" s="130">
        <f t="shared" si="0"/>
        <v>699</v>
      </c>
      <c r="C26" s="75">
        <f t="shared" si="1"/>
        <v>0.1077654517</v>
      </c>
      <c r="D26" s="24">
        <f t="shared" si="2"/>
        <v>757</v>
      </c>
      <c r="E26" s="25">
        <f t="shared" si="3"/>
        <v>8.2975679542203154E-2</v>
      </c>
      <c r="F26" s="100">
        <f t="shared" si="4"/>
        <v>12446.351931330473</v>
      </c>
      <c r="G26" s="98">
        <f t="shared" si="5"/>
        <v>739</v>
      </c>
      <c r="H26" s="25">
        <f t="shared" si="6"/>
        <v>5.7224606580829757E-2</v>
      </c>
      <c r="I26" s="99">
        <f t="shared" si="7"/>
        <v>8583.6909871244643</v>
      </c>
      <c r="J26" s="24">
        <f t="shared" si="8"/>
        <v>752</v>
      </c>
      <c r="K26" s="25">
        <f t="shared" si="9"/>
        <v>7.5822603719599424E-2</v>
      </c>
      <c r="L26" s="100">
        <f t="shared" si="10"/>
        <v>11373.390557939914</v>
      </c>
      <c r="M26" s="98">
        <f t="shared" si="11"/>
        <v>767</v>
      </c>
      <c r="N26" s="25">
        <f t="shared" si="12"/>
        <v>9.7281831187410586E-2</v>
      </c>
      <c r="O26" s="100">
        <f t="shared" si="13"/>
        <v>14592.274678111587</v>
      </c>
      <c r="Q26" s="284"/>
      <c r="R26" s="285"/>
      <c r="S26" s="286"/>
    </row>
    <row r="27" spans="1:19" ht="17.25" customHeight="1">
      <c r="A27" s="122" t="s">
        <v>144</v>
      </c>
      <c r="B27" s="123">
        <f t="shared" si="0"/>
        <v>11990</v>
      </c>
      <c r="C27" s="72">
        <f t="shared" si="1"/>
        <v>9.7985348E-2</v>
      </c>
      <c r="D27" s="13">
        <f t="shared" si="2"/>
        <v>12220</v>
      </c>
      <c r="E27" s="14">
        <f t="shared" si="3"/>
        <v>1.9182652210175146E-2</v>
      </c>
      <c r="F27" s="16">
        <f t="shared" si="4"/>
        <v>2877.3978315262721</v>
      </c>
      <c r="G27" s="29">
        <f t="shared" si="5"/>
        <v>12040</v>
      </c>
      <c r="H27" s="14">
        <f t="shared" si="6"/>
        <v>4.1701417848206837E-3</v>
      </c>
      <c r="I27" s="96">
        <f t="shared" si="7"/>
        <v>625.5212677231026</v>
      </c>
      <c r="J27" s="13">
        <f t="shared" si="8"/>
        <v>12200</v>
      </c>
      <c r="K27" s="14">
        <f t="shared" si="9"/>
        <v>1.7514595496246871E-2</v>
      </c>
      <c r="L27" s="16">
        <f t="shared" si="10"/>
        <v>2627.1893244370308</v>
      </c>
      <c r="M27" s="29">
        <f t="shared" si="11"/>
        <v>12290</v>
      </c>
      <c r="N27" s="14">
        <f t="shared" si="12"/>
        <v>2.5020850708924104E-2</v>
      </c>
      <c r="O27" s="16">
        <f t="shared" si="13"/>
        <v>3753.1276063386158</v>
      </c>
      <c r="Q27" s="287"/>
      <c r="R27" s="288"/>
      <c r="S27" s="289"/>
    </row>
    <row r="28" spans="1:19" ht="17.25" customHeight="1" thickBot="1">
      <c r="A28" s="124" t="s">
        <v>80</v>
      </c>
      <c r="B28" s="125">
        <f t="shared" si="0"/>
        <v>1605</v>
      </c>
      <c r="C28" s="73">
        <f t="shared" si="1"/>
        <v>9.5563139899999996E-2</v>
      </c>
      <c r="D28" s="15">
        <f t="shared" si="2"/>
        <v>1710</v>
      </c>
      <c r="E28" s="32">
        <f t="shared" si="3"/>
        <v>6.5420560747663545E-2</v>
      </c>
      <c r="F28" s="18">
        <f t="shared" si="4"/>
        <v>9813.0841121495323</v>
      </c>
      <c r="G28" s="31">
        <f t="shared" si="5"/>
        <v>1655</v>
      </c>
      <c r="H28" s="32">
        <f t="shared" si="6"/>
        <v>3.1152647975077882E-2</v>
      </c>
      <c r="I28" s="97">
        <f t="shared" si="7"/>
        <v>4672.8971962616824</v>
      </c>
      <c r="J28" s="15">
        <f t="shared" si="8"/>
        <v>1680</v>
      </c>
      <c r="K28" s="32">
        <f t="shared" si="9"/>
        <v>4.6728971962616821E-2</v>
      </c>
      <c r="L28" s="18">
        <f t="shared" si="10"/>
        <v>7009.3457943925232</v>
      </c>
      <c r="M28" s="31">
        <f t="shared" si="11"/>
        <v>1720</v>
      </c>
      <c r="N28" s="32">
        <f t="shared" si="12"/>
        <v>7.1651090342679122E-2</v>
      </c>
      <c r="O28" s="18">
        <f t="shared" si="13"/>
        <v>10747.663551401869</v>
      </c>
      <c r="Q28" s="290"/>
      <c r="R28" s="291"/>
      <c r="S28" s="292"/>
    </row>
    <row r="29" spans="1:19" ht="17.25" customHeight="1" thickBot="1">
      <c r="A29" s="124" t="s">
        <v>178</v>
      </c>
      <c r="B29" s="125">
        <f t="shared" si="0"/>
        <v>53330</v>
      </c>
      <c r="C29" s="73">
        <f t="shared" si="1"/>
        <v>8.8589508100000006E-2</v>
      </c>
      <c r="D29" s="15">
        <f t="shared" si="2"/>
        <v>61340</v>
      </c>
      <c r="E29" s="32">
        <f t="shared" si="3"/>
        <v>0.15019688730545658</v>
      </c>
      <c r="F29" s="18">
        <f t="shared" si="4"/>
        <v>22529.533095818486</v>
      </c>
      <c r="G29" s="31">
        <f t="shared" si="5"/>
        <v>58600</v>
      </c>
      <c r="H29" s="32">
        <f t="shared" si="6"/>
        <v>9.881867616726045E-2</v>
      </c>
      <c r="I29" s="97">
        <f t="shared" si="7"/>
        <v>14822.801425089068</v>
      </c>
      <c r="J29" s="15">
        <f t="shared" si="8"/>
        <v>60350</v>
      </c>
      <c r="K29" s="32">
        <f t="shared" si="9"/>
        <v>0.13163322707669228</v>
      </c>
      <c r="L29" s="18">
        <f t="shared" si="10"/>
        <v>19744.984061503841</v>
      </c>
      <c r="M29" s="31">
        <f t="shared" si="11"/>
        <v>60070</v>
      </c>
      <c r="N29" s="32">
        <f t="shared" si="12"/>
        <v>0.12638289893118321</v>
      </c>
      <c r="O29" s="18">
        <f t="shared" si="13"/>
        <v>18957.43483967748</v>
      </c>
      <c r="Q29" s="275"/>
      <c r="R29" s="275"/>
      <c r="S29" s="275"/>
    </row>
    <row r="30" spans="1:19" ht="17.25" customHeight="1" thickBot="1">
      <c r="A30" s="124" t="s">
        <v>92</v>
      </c>
      <c r="B30" s="125">
        <f t="shared" si="0"/>
        <v>1895</v>
      </c>
      <c r="C30" s="73">
        <f t="shared" si="1"/>
        <v>8.5959885400000005E-2</v>
      </c>
      <c r="D30" s="15">
        <f t="shared" si="2"/>
        <v>2050</v>
      </c>
      <c r="E30" s="32">
        <f t="shared" si="3"/>
        <v>8.1794195250659632E-2</v>
      </c>
      <c r="F30" s="18">
        <f t="shared" si="4"/>
        <v>12269.129287598946</v>
      </c>
      <c r="G30" s="31">
        <f t="shared" si="5"/>
        <v>1995</v>
      </c>
      <c r="H30" s="32">
        <f t="shared" si="6"/>
        <v>5.2770448548812667E-2</v>
      </c>
      <c r="I30" s="97">
        <f t="shared" si="7"/>
        <v>7915.5672823219002</v>
      </c>
      <c r="J30" s="15">
        <f t="shared" si="8"/>
        <v>2000</v>
      </c>
      <c r="K30" s="32">
        <f t="shared" si="9"/>
        <v>5.5408970976253295E-2</v>
      </c>
      <c r="L30" s="18">
        <f t="shared" si="10"/>
        <v>8311.3456464379942</v>
      </c>
      <c r="M30" s="31">
        <f t="shared" si="11"/>
        <v>2035</v>
      </c>
      <c r="N30" s="32">
        <f t="shared" si="12"/>
        <v>7.3878627968337732E-2</v>
      </c>
      <c r="O30" s="18">
        <f t="shared" si="13"/>
        <v>11081.794195250659</v>
      </c>
      <c r="Q30" s="270"/>
      <c r="R30" s="270"/>
      <c r="S30" s="270"/>
    </row>
    <row r="31" spans="1:19" ht="17.25" customHeight="1" thickBot="1">
      <c r="A31" s="126" t="s">
        <v>104</v>
      </c>
      <c r="B31" s="127">
        <f t="shared" si="0"/>
        <v>2410</v>
      </c>
      <c r="C31" s="74">
        <f t="shared" si="1"/>
        <v>8.55855856E-2</v>
      </c>
      <c r="D31" s="20">
        <f t="shared" si="2"/>
        <v>2640</v>
      </c>
      <c r="E31" s="21">
        <f t="shared" si="3"/>
        <v>9.5435684647302899E-2</v>
      </c>
      <c r="F31" s="22">
        <f t="shared" si="4"/>
        <v>14315.352697095435</v>
      </c>
      <c r="G31" s="30">
        <f t="shared" si="5"/>
        <v>2600</v>
      </c>
      <c r="H31" s="21">
        <f t="shared" si="6"/>
        <v>7.8838174273858919E-2</v>
      </c>
      <c r="I31" s="101">
        <f t="shared" si="7"/>
        <v>11825.726141078838</v>
      </c>
      <c r="J31" s="20">
        <f t="shared" si="8"/>
        <v>2665</v>
      </c>
      <c r="K31" s="21">
        <f t="shared" si="9"/>
        <v>0.10580912863070539</v>
      </c>
      <c r="L31" s="22">
        <f t="shared" si="10"/>
        <v>15871.369294605809</v>
      </c>
      <c r="M31" s="30">
        <f t="shared" si="11"/>
        <v>2765</v>
      </c>
      <c r="N31" s="21">
        <f t="shared" si="12"/>
        <v>0.14730290456431536</v>
      </c>
      <c r="O31" s="22">
        <f t="shared" si="13"/>
        <v>22095.435684647302</v>
      </c>
      <c r="Q31" s="270"/>
      <c r="R31" s="270"/>
      <c r="S31" s="270"/>
    </row>
    <row r="32" spans="1:19" ht="17.25" customHeight="1" thickBot="1">
      <c r="A32" s="124" t="s">
        <v>102</v>
      </c>
      <c r="B32" s="128">
        <f t="shared" si="0"/>
        <v>93120</v>
      </c>
      <c r="C32" s="76">
        <f t="shared" si="1"/>
        <v>8.2790697699999999E-2</v>
      </c>
      <c r="D32" s="102">
        <f t="shared" si="2"/>
        <v>114900</v>
      </c>
      <c r="E32" s="103">
        <f t="shared" si="3"/>
        <v>0.23389175257731959</v>
      </c>
      <c r="F32" s="104">
        <f t="shared" si="4"/>
        <v>35083.762886597935</v>
      </c>
      <c r="G32" s="105">
        <f t="shared" si="5"/>
        <v>120000</v>
      </c>
      <c r="H32" s="103">
        <f t="shared" si="6"/>
        <v>0.28865979381443296</v>
      </c>
      <c r="I32" s="106">
        <f t="shared" si="7"/>
        <v>43298.969072164946</v>
      </c>
      <c r="J32" s="102">
        <f t="shared" si="8"/>
        <v>129000</v>
      </c>
      <c r="K32" s="103">
        <f t="shared" si="9"/>
        <v>0.38530927835051548</v>
      </c>
      <c r="L32" s="104">
        <f t="shared" si="10"/>
        <v>57796.391752577321</v>
      </c>
      <c r="M32" s="105">
        <f t="shared" si="11"/>
        <v>137000</v>
      </c>
      <c r="N32" s="103">
        <f t="shared" si="12"/>
        <v>0.47121993127147765</v>
      </c>
      <c r="O32" s="104">
        <f t="shared" si="13"/>
        <v>70682.989690721646</v>
      </c>
      <c r="Q32" s="275"/>
      <c r="R32" s="275"/>
      <c r="S32" s="275"/>
    </row>
    <row r="33" spans="1:19" ht="17.25" customHeight="1" thickBot="1">
      <c r="A33" s="124" t="s">
        <v>188</v>
      </c>
      <c r="B33" s="125">
        <f t="shared" si="0"/>
        <v>18760</v>
      </c>
      <c r="C33" s="73">
        <f t="shared" si="1"/>
        <v>7.8780908600000005E-2</v>
      </c>
      <c r="D33" s="15">
        <f t="shared" si="2"/>
        <v>23000</v>
      </c>
      <c r="E33" s="32">
        <f t="shared" si="3"/>
        <v>0.22601279317697229</v>
      </c>
      <c r="F33" s="18">
        <f t="shared" si="4"/>
        <v>33901.918976545843</v>
      </c>
      <c r="G33" s="31">
        <f t="shared" si="5"/>
        <v>22560</v>
      </c>
      <c r="H33" s="32">
        <f t="shared" si="6"/>
        <v>0.20255863539445629</v>
      </c>
      <c r="I33" s="97">
        <f t="shared" si="7"/>
        <v>30383.795309168443</v>
      </c>
      <c r="J33" s="15">
        <f t="shared" si="8"/>
        <v>23100</v>
      </c>
      <c r="K33" s="32">
        <f t="shared" si="9"/>
        <v>0.23134328358208955</v>
      </c>
      <c r="L33" s="18">
        <f t="shared" si="10"/>
        <v>34701.492537313432</v>
      </c>
      <c r="M33" s="31">
        <f t="shared" si="11"/>
        <v>26350</v>
      </c>
      <c r="N33" s="32">
        <f t="shared" si="12"/>
        <v>0.40458422174840086</v>
      </c>
      <c r="O33" s="18">
        <f t="shared" si="13"/>
        <v>60687.633262260133</v>
      </c>
      <c r="Q33" s="275"/>
      <c r="R33" s="275"/>
      <c r="S33" s="275"/>
    </row>
    <row r="34" spans="1:19" ht="17.25" customHeight="1" thickBot="1">
      <c r="A34" s="124" t="s">
        <v>61</v>
      </c>
      <c r="B34" s="125">
        <f t="shared" si="0"/>
        <v>1720</v>
      </c>
      <c r="C34" s="73">
        <f t="shared" si="1"/>
        <v>7.8369906000000003E-2</v>
      </c>
      <c r="D34" s="15">
        <f t="shared" si="2"/>
        <v>1725</v>
      </c>
      <c r="E34" s="32">
        <f t="shared" si="3"/>
        <v>2.9069767441860465E-3</v>
      </c>
      <c r="F34" s="18">
        <f t="shared" si="4"/>
        <v>436.04651162790697</v>
      </c>
      <c r="G34" s="31">
        <f t="shared" si="5"/>
        <v>1755</v>
      </c>
      <c r="H34" s="32">
        <f t="shared" si="6"/>
        <v>2.0348837209302327E-2</v>
      </c>
      <c r="I34" s="97">
        <f t="shared" si="7"/>
        <v>3052.3255813953492</v>
      </c>
      <c r="J34" s="15">
        <f t="shared" si="8"/>
        <v>1730</v>
      </c>
      <c r="K34" s="32">
        <f t="shared" si="9"/>
        <v>5.8139534883720929E-3</v>
      </c>
      <c r="L34" s="18">
        <f t="shared" si="10"/>
        <v>872.09302325581393</v>
      </c>
      <c r="M34" s="31">
        <f t="shared" si="11"/>
        <v>1725</v>
      </c>
      <c r="N34" s="32">
        <f t="shared" si="12"/>
        <v>2.9069767441860465E-3</v>
      </c>
      <c r="O34" s="18">
        <f t="shared" si="13"/>
        <v>436.04651162790697</v>
      </c>
      <c r="Q34" s="275"/>
      <c r="R34" s="275"/>
      <c r="S34" s="275"/>
    </row>
    <row r="35" spans="1:19" ht="17.25" customHeight="1">
      <c r="A35" s="124" t="s">
        <v>130</v>
      </c>
      <c r="B35" s="125">
        <f t="shared" si="0"/>
        <v>413800</v>
      </c>
      <c r="C35" s="73">
        <f t="shared" si="1"/>
        <v>7.6482830399999993E-2</v>
      </c>
      <c r="D35" s="15">
        <f t="shared" si="2"/>
        <v>412000</v>
      </c>
      <c r="E35" s="32">
        <f t="shared" si="3"/>
        <v>-4.3499275012083135E-3</v>
      </c>
      <c r="F35" s="18">
        <f t="shared" si="4"/>
        <v>-652.489125181247</v>
      </c>
      <c r="G35" s="31">
        <f t="shared" si="5"/>
        <v>414950</v>
      </c>
      <c r="H35" s="32">
        <f t="shared" si="6"/>
        <v>2.7791203479942002E-3</v>
      </c>
      <c r="I35" s="97">
        <f t="shared" si="7"/>
        <v>416.86805219913003</v>
      </c>
      <c r="J35" s="15">
        <f t="shared" si="8"/>
        <v>419600</v>
      </c>
      <c r="K35" s="32">
        <f t="shared" si="9"/>
        <v>1.401643305944901E-2</v>
      </c>
      <c r="L35" s="18">
        <f t="shared" si="10"/>
        <v>2102.4649589173514</v>
      </c>
      <c r="M35" s="31">
        <f t="shared" si="11"/>
        <v>413950</v>
      </c>
      <c r="N35" s="32">
        <f t="shared" si="12"/>
        <v>3.6249395843402607E-4</v>
      </c>
      <c r="O35" s="18">
        <f t="shared" si="13"/>
        <v>54.374093765103908</v>
      </c>
      <c r="Q35" s="297"/>
      <c r="R35" s="298"/>
      <c r="S35" s="299"/>
    </row>
    <row r="36" spans="1:19" ht="17.25" customHeight="1" thickBot="1">
      <c r="A36" s="129" t="s">
        <v>156</v>
      </c>
      <c r="B36" s="130">
        <f t="shared" si="0"/>
        <v>161</v>
      </c>
      <c r="C36" s="75">
        <f t="shared" si="1"/>
        <v>7.3333333299999998E-2</v>
      </c>
      <c r="D36" s="24">
        <f t="shared" si="2"/>
        <v>176</v>
      </c>
      <c r="E36" s="25">
        <f t="shared" si="3"/>
        <v>9.3167701863354033E-2</v>
      </c>
      <c r="F36" s="100">
        <f t="shared" si="4"/>
        <v>13975.155279503106</v>
      </c>
      <c r="G36" s="98">
        <f t="shared" si="5"/>
        <v>172</v>
      </c>
      <c r="H36" s="25">
        <f t="shared" si="6"/>
        <v>6.8322981366459631E-2</v>
      </c>
      <c r="I36" s="99">
        <f t="shared" si="7"/>
        <v>10248.447204968945</v>
      </c>
      <c r="J36" s="24">
        <f t="shared" si="8"/>
        <v>174</v>
      </c>
      <c r="K36" s="25">
        <f t="shared" si="9"/>
        <v>8.0745341614906832E-2</v>
      </c>
      <c r="L36" s="100">
        <f t="shared" si="10"/>
        <v>12111.801242236024</v>
      </c>
      <c r="M36" s="98">
        <f t="shared" si="11"/>
        <v>183</v>
      </c>
      <c r="N36" s="25">
        <f t="shared" si="12"/>
        <v>0.13664596273291926</v>
      </c>
      <c r="O36" s="100">
        <f t="shared" si="13"/>
        <v>20496.89440993789</v>
      </c>
      <c r="Q36" s="300"/>
      <c r="R36" s="301"/>
      <c r="S36" s="302"/>
    </row>
    <row r="37" spans="1:19" ht="17.25" customHeight="1" thickBot="1">
      <c r="A37" s="131" t="s">
        <v>42</v>
      </c>
      <c r="B37" s="308">
        <v>150000</v>
      </c>
      <c r="C37" s="309"/>
      <c r="D37" s="26" t="s">
        <v>43</v>
      </c>
      <c r="E37" s="27">
        <f>IF(COUNT(E17:E36), SUM(E17:E36) / COUNT(E17:E36), 0)</f>
        <v>8.5959954810921085E-2</v>
      </c>
      <c r="F37" s="28">
        <f>SUM(F17:F36)</f>
        <v>257879.86443276325</v>
      </c>
      <c r="G37" s="26" t="s">
        <v>43</v>
      </c>
      <c r="H37" s="27">
        <f>IF(COUNT(H17:H36), SUM(H17:H36) / COUNT(H17:H36), 0)</f>
        <v>7.6868112919621853E-2</v>
      </c>
      <c r="I37" s="28">
        <f>SUM(I17:I36)</f>
        <v>230604.3387588656</v>
      </c>
      <c r="J37" s="26" t="s">
        <v>43</v>
      </c>
      <c r="K37" s="27">
        <f>IF(COUNT(K17:K36), SUM(K17:K36) / COUNT(K17:K36), 0)</f>
        <v>0.10003897610059287</v>
      </c>
      <c r="L37" s="28">
        <f>SUM(L17:L36)</f>
        <v>300116.92830177856</v>
      </c>
      <c r="M37" s="26" t="s">
        <v>43</v>
      </c>
      <c r="N37" s="27">
        <f>IF(COUNT(N17:N36), SUM(N17:N36) / COUNT(N17:N36), 0)</f>
        <v>0.1177913772943588</v>
      </c>
      <c r="O37" s="28">
        <f>SUM(O17:O36)</f>
        <v>353374.13188307645</v>
      </c>
      <c r="Q37" s="303"/>
      <c r="R37" s="304"/>
      <c r="S37" s="305"/>
    </row>
    <row r="38" spans="1:19" ht="17.25" customHeight="1"/>
    <row r="39" spans="1:19" ht="17.25" customHeight="1" thickBot="1"/>
    <row r="40" spans="1:19" ht="17.25" customHeight="1" thickBot="1">
      <c r="A40" s="249" t="s">
        <v>44</v>
      </c>
      <c r="B40" s="250"/>
      <c r="C40" s="250"/>
      <c r="D40" s="250"/>
      <c r="E40" s="250"/>
      <c r="F40" s="250"/>
      <c r="G40" s="250"/>
      <c r="H40" s="250"/>
      <c r="I40" s="250"/>
      <c r="J40" s="250"/>
      <c r="K40" s="250"/>
      <c r="L40" s="250"/>
      <c r="M40" s="250"/>
      <c r="N40" s="250"/>
      <c r="O40" s="251"/>
      <c r="Q40" s="270"/>
      <c r="R40" s="270"/>
      <c r="S40" s="270"/>
    </row>
    <row r="41" spans="1:19" ht="17.25" customHeight="1" thickBot="1">
      <c r="A41" s="159" t="s">
        <v>298</v>
      </c>
      <c r="B41" s="249" t="s">
        <v>49</v>
      </c>
      <c r="C41" s="251"/>
      <c r="D41" s="249" t="s">
        <v>58</v>
      </c>
      <c r="E41" s="250"/>
      <c r="F41" s="251"/>
      <c r="G41" s="276">
        <f>_xlfn.IFNA(VLOOKUP(B41, 현재가테이블!$B$2:$D$200, 2, FALSE), "-")</f>
        <v>60874000</v>
      </c>
      <c r="H41" s="277"/>
      <c r="I41" s="278"/>
      <c r="J41" s="249" t="s">
        <v>59</v>
      </c>
      <c r="K41" s="250"/>
      <c r="L41" s="251"/>
      <c r="M41" s="279">
        <f>_xlfn.IFNA(VLOOKUP(B41, 현재가테이블!$B$2:$D$200, 3, FALSE), "-")</f>
        <v>-1.4936000099999999E-2</v>
      </c>
      <c r="N41" s="280"/>
      <c r="O41" s="281"/>
      <c r="Q41" s="270"/>
      <c r="R41" s="270"/>
      <c r="S41" s="270"/>
    </row>
    <row r="42" spans="1:19" ht="17.25" customHeight="1" thickBot="1">
      <c r="A42" s="310" t="s">
        <v>55</v>
      </c>
      <c r="B42" s="312" t="str">
        <f>TEXT($G$1, "[$-ko-KR]yyyy-mm-dd(ddd) ") &amp; "오전 00:00"</f>
        <v>2021-05-06(목) 오전 00:00</v>
      </c>
      <c r="C42" s="313"/>
      <c r="D42" s="272" t="str">
        <f>TEXT($G$1, "[$-ko-KR]yyyy-mm-dd(ddd) ") &amp; "오후 14:00"</f>
        <v>2021-05-06(목) 오후 14:00</v>
      </c>
      <c r="E42" s="273"/>
      <c r="F42" s="274"/>
      <c r="G42" s="272" t="str">
        <f>TEXT($G$1, "[$-ko-KR]yyyy-mm-dd(ddd) ") &amp; "오후 19:00"</f>
        <v>2021-05-06(목) 오후 19:00</v>
      </c>
      <c r="H42" s="273"/>
      <c r="I42" s="274"/>
      <c r="J42" s="272" t="str">
        <f>TEXT($G$1, "[$-ko-KR]yyyy-mm-dd(ddd) ") &amp; "오후 21:00"</f>
        <v>2021-05-06(목) 오후 21:00</v>
      </c>
      <c r="K42" s="273"/>
      <c r="L42" s="274"/>
      <c r="M42" s="272" t="str">
        <f>TEXT($G$1+1, "[$-ko-KR]yyyy-mm-dd(ddd) ") &amp; "오전 00:00"</f>
        <v>2021-05-07(금) 오전 00:00</v>
      </c>
      <c r="N42" s="273"/>
      <c r="O42" s="274"/>
      <c r="Q42" s="270"/>
      <c r="R42" s="270"/>
      <c r="S42" s="270"/>
    </row>
    <row r="43" spans="1:19" ht="17.25" customHeight="1" thickBot="1">
      <c r="A43" s="311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0" t="s">
        <v>58</v>
      </c>
      <c r="H43" s="161" t="s">
        <v>299</v>
      </c>
      <c r="I43" s="162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75"/>
      <c r="R43" s="275"/>
      <c r="S43" s="275"/>
    </row>
    <row r="44" spans="1:19" ht="17.25" customHeight="1" thickBot="1">
      <c r="A44" s="122" t="s">
        <v>152</v>
      </c>
      <c r="B44" s="123">
        <v>51.5</v>
      </c>
      <c r="C44" s="72">
        <v>0.14190687360000001</v>
      </c>
      <c r="D44" s="13">
        <v>50.5</v>
      </c>
      <c r="E44" s="14">
        <f>IF(ISNUMBER(D44), (D44 - $B44) / $B44, "")</f>
        <v>-1.9417475728155338E-2</v>
      </c>
      <c r="F44" s="16">
        <f>IF(ISNUMBER(D44), $B64 * E44, "")</f>
        <v>-2912.6213592233007</v>
      </c>
      <c r="G44" s="29">
        <v>50.9</v>
      </c>
      <c r="H44" s="14">
        <f>IF(ISNUMBER(G44), (G44 - $B44) / $B44, "")</f>
        <v>-1.1650485436893232E-2</v>
      </c>
      <c r="I44" s="96">
        <f>IF(ISNUMBER(G44), $B64 * H44, "")</f>
        <v>-1747.5728155339848</v>
      </c>
      <c r="J44" s="13">
        <v>52.8</v>
      </c>
      <c r="K44" s="14">
        <f>IF(ISNUMBER(J44), (J44 - $B44) / $B44, "")</f>
        <v>2.5242718446601888E-2</v>
      </c>
      <c r="L44" s="16">
        <f>IF(ISNUMBER(J44), $B64 * K44, "")</f>
        <v>3786.4077669902831</v>
      </c>
      <c r="M44" s="29">
        <v>52.3</v>
      </c>
      <c r="N44" s="14">
        <f>IF(ISNUMBER(M44), (M44 - $B44) / $B44, "")</f>
        <v>1.5533980582524217E-2</v>
      </c>
      <c r="O44" s="16">
        <f>IF(ISNUMBER(M44), $B64 * N44, "")</f>
        <v>2330.0970873786328</v>
      </c>
      <c r="Q44" s="270"/>
      <c r="R44" s="270"/>
      <c r="S44" s="270"/>
    </row>
    <row r="45" spans="1:19" ht="17.25" customHeight="1" thickBot="1">
      <c r="A45" s="124" t="s">
        <v>126</v>
      </c>
      <c r="B45" s="125">
        <v>65.5</v>
      </c>
      <c r="C45" s="73">
        <v>6.5040650399999997E-2</v>
      </c>
      <c r="D45" s="15">
        <v>63.5</v>
      </c>
      <c r="E45" s="32">
        <f t="shared" ref="E45:E48" si="14">IF(ISNUMBER(D45), (D45 - $B45) / $B45, "")</f>
        <v>-3.0534351145038167E-2</v>
      </c>
      <c r="F45" s="18">
        <f>IF(ISNUMBER(D45), $B64 * E45, "")</f>
        <v>-4580.1526717557254</v>
      </c>
      <c r="G45" s="31">
        <v>63.2</v>
      </c>
      <c r="H45" s="32">
        <f t="shared" ref="H45:H48" si="15">IF(ISNUMBER(G45), (G45 - $B45) / $B45, "")</f>
        <v>-3.5114503816793853E-2</v>
      </c>
      <c r="I45" s="97">
        <f>IF(ISNUMBER(G45), $B64 * H45, "")</f>
        <v>-5267.1755725190778</v>
      </c>
      <c r="J45" s="15">
        <v>63.3</v>
      </c>
      <c r="K45" s="32">
        <f t="shared" ref="K45:K48" si="16">IF(ISNUMBER(J45), (J45 - $B45) / $B45, "")</f>
        <v>-3.3587786259542028E-2</v>
      </c>
      <c r="L45" s="18">
        <f>IF(ISNUMBER(J45), $B64 * K45, "")</f>
        <v>-5038.167938931304</v>
      </c>
      <c r="M45" s="31">
        <v>63.3</v>
      </c>
      <c r="N45" s="32">
        <f t="shared" ref="N45:N48" si="17">IF(ISNUMBER(M45), (M45 - $B45) / $B45, "")</f>
        <v>-3.3587786259542028E-2</v>
      </c>
      <c r="O45" s="18">
        <f>IF(ISNUMBER(M45), $B64 * N45, "")</f>
        <v>-5038.167938931304</v>
      </c>
      <c r="Q45" s="270"/>
      <c r="R45" s="270"/>
      <c r="S45" s="270"/>
    </row>
    <row r="46" spans="1:19" ht="17.25" customHeight="1" thickBot="1">
      <c r="A46" s="124" t="s">
        <v>100</v>
      </c>
      <c r="B46" s="125">
        <v>8.52</v>
      </c>
      <c r="C46" s="73">
        <v>6.3670411999999996E-2</v>
      </c>
      <c r="D46" s="15">
        <v>8.77</v>
      </c>
      <c r="E46" s="32">
        <f t="shared" si="14"/>
        <v>2.9342723004694836E-2</v>
      </c>
      <c r="F46" s="18">
        <f>IF(ISNUMBER(D46), $B64 * E46, "")</f>
        <v>4401.4084507042253</v>
      </c>
      <c r="G46" s="31">
        <v>8.59</v>
      </c>
      <c r="H46" s="32">
        <f t="shared" si="15"/>
        <v>8.2159624413145876E-3</v>
      </c>
      <c r="I46" s="97">
        <f>IF(ISNUMBER(G46), $B64 * H46, "")</f>
        <v>1232.3943661971882</v>
      </c>
      <c r="J46" s="15">
        <v>8.8000000000000007</v>
      </c>
      <c r="K46" s="32">
        <f t="shared" si="16"/>
        <v>3.286384976525835E-2</v>
      </c>
      <c r="L46" s="18">
        <f>IF(ISNUMBER(J46), $B64 * K46, "")</f>
        <v>4929.5774647887529</v>
      </c>
      <c r="M46" s="31">
        <v>9.58</v>
      </c>
      <c r="N46" s="32">
        <f t="shared" si="17"/>
        <v>0.12441314553990616</v>
      </c>
      <c r="O46" s="18">
        <f>IF(ISNUMBER(M46), $B64 * N46, "")</f>
        <v>18661.971830985924</v>
      </c>
      <c r="Q46" s="275"/>
      <c r="R46" s="275"/>
      <c r="S46" s="275"/>
    </row>
    <row r="47" spans="1:19" ht="17.25" customHeight="1" thickBot="1">
      <c r="A47" s="124" t="s">
        <v>72</v>
      </c>
      <c r="B47" s="125">
        <v>36.1</v>
      </c>
      <c r="C47" s="73">
        <v>4.0345821300000001E-2</v>
      </c>
      <c r="D47" s="15">
        <v>40.1</v>
      </c>
      <c r="E47" s="32">
        <f t="shared" si="14"/>
        <v>0.11080332409972299</v>
      </c>
      <c r="F47" s="18">
        <f>IF(ISNUMBER(D47), $B64 * E47, "")</f>
        <v>16620.498614958447</v>
      </c>
      <c r="G47" s="31">
        <v>40.6</v>
      </c>
      <c r="H47" s="32">
        <f t="shared" si="15"/>
        <v>0.12465373961218836</v>
      </c>
      <c r="I47" s="97">
        <f>IF(ISNUMBER(G47), $B64 * H47, "")</f>
        <v>18698.060941828255</v>
      </c>
      <c r="J47" s="15">
        <v>39.9</v>
      </c>
      <c r="K47" s="32">
        <f t="shared" si="16"/>
        <v>0.10526315789473675</v>
      </c>
      <c r="L47" s="18">
        <f>IF(ISNUMBER(J47), $B64 * K47, "")</f>
        <v>15789.473684210512</v>
      </c>
      <c r="M47" s="31">
        <v>39</v>
      </c>
      <c r="N47" s="32">
        <f t="shared" si="17"/>
        <v>8.0332409972299124E-2</v>
      </c>
      <c r="O47" s="18">
        <f>IF(ISNUMBER(M47), $B64 * N47, "")</f>
        <v>12049.861495844869</v>
      </c>
      <c r="Q47" s="275"/>
      <c r="R47" s="275"/>
      <c r="S47" s="275"/>
    </row>
    <row r="48" spans="1:19" ht="17.25" customHeight="1" thickBot="1">
      <c r="A48" s="126" t="s">
        <v>65</v>
      </c>
      <c r="B48" s="127">
        <v>73.8</v>
      </c>
      <c r="C48" s="74">
        <v>3.5063113600000001E-2</v>
      </c>
      <c r="D48" s="20">
        <v>76.099999999999994</v>
      </c>
      <c r="E48" s="21">
        <f t="shared" si="14"/>
        <v>3.1165311653116493E-2</v>
      </c>
      <c r="F48" s="22">
        <f>IF(ISNUMBER(D48), $B64 * E48, "")</f>
        <v>4674.7967479674735</v>
      </c>
      <c r="G48" s="30">
        <v>76.400000000000006</v>
      </c>
      <c r="H48" s="21">
        <f t="shared" si="15"/>
        <v>3.5230352303523151E-2</v>
      </c>
      <c r="I48" s="101">
        <f>IF(ISNUMBER(G48), $B64 * H48, "")</f>
        <v>5284.552845528473</v>
      </c>
      <c r="J48" s="20">
        <v>76.099999999999994</v>
      </c>
      <c r="K48" s="21">
        <f t="shared" si="16"/>
        <v>3.1165311653116493E-2</v>
      </c>
      <c r="L48" s="22">
        <f>IF(ISNUMBER(J48), $B64 * K48, "")</f>
        <v>4674.7967479674735</v>
      </c>
      <c r="M48" s="30">
        <v>76.400000000000006</v>
      </c>
      <c r="N48" s="21">
        <f t="shared" si="17"/>
        <v>3.5230352303523151E-2</v>
      </c>
      <c r="O48" s="22">
        <f>IF(ISNUMBER(M48), $B64 * N48, "")</f>
        <v>5284.552845528473</v>
      </c>
      <c r="Q48" s="275"/>
      <c r="R48" s="275"/>
      <c r="S48" s="275"/>
    </row>
    <row r="49" spans="1:19" ht="17.25" customHeight="1" thickBot="1">
      <c r="A49" s="124" t="s">
        <v>254</v>
      </c>
      <c r="B49" s="128">
        <v>93.6</v>
      </c>
      <c r="C49" s="76">
        <v>3.08370044E-2</v>
      </c>
      <c r="D49" s="102">
        <v>87.5</v>
      </c>
      <c r="E49" s="103">
        <f>IF(ISNUMBER(D49), (D49 - $B49) / $B49, "")</f>
        <v>-6.517094017094012E-2</v>
      </c>
      <c r="F49" s="104">
        <f>IF(ISNUMBER(D49), $B64 * E49, "")</f>
        <v>-9775.6410256410181</v>
      </c>
      <c r="G49" s="105">
        <v>87.7</v>
      </c>
      <c r="H49" s="103">
        <f>IF(ISNUMBER(G49), (G49 - $B49) / $B49, "")</f>
        <v>-6.3034188034187949E-2</v>
      </c>
      <c r="I49" s="106">
        <f>IF(ISNUMBER(G49), $B64 * H49, "")</f>
        <v>-9455.1282051281923</v>
      </c>
      <c r="J49" s="102">
        <v>86.9</v>
      </c>
      <c r="K49" s="103">
        <f>IF(ISNUMBER(J49), (J49 - $B49) / $B49, "")</f>
        <v>-7.1581196581196466E-2</v>
      </c>
      <c r="L49" s="104">
        <f>IF(ISNUMBER(J49), $B64 * K49, "")</f>
        <v>-10737.17948717947</v>
      </c>
      <c r="M49" s="105">
        <v>86</v>
      </c>
      <c r="N49" s="103">
        <f>IF(ISNUMBER(M49), (M49 - $B49) / $B49, "")</f>
        <v>-8.1196581196581144E-2</v>
      </c>
      <c r="O49" s="104">
        <f>IF(ISNUMBER(M49), $B64 * N49, "")</f>
        <v>-12179.487179487172</v>
      </c>
      <c r="Q49" s="275"/>
      <c r="R49" s="275"/>
      <c r="S49" s="275"/>
    </row>
    <row r="50" spans="1:19" ht="17.25" customHeight="1" thickBot="1">
      <c r="A50" s="124" t="s">
        <v>196</v>
      </c>
      <c r="B50" s="125">
        <v>20.9</v>
      </c>
      <c r="C50" s="73">
        <v>9.6618356999999995E-3</v>
      </c>
      <c r="D50" s="15">
        <v>20.7</v>
      </c>
      <c r="E50" s="32">
        <f t="shared" ref="E50:E53" si="18">IF(ISNUMBER(D50), (D50 - $B50) / $B50, "")</f>
        <v>-9.5693779904305887E-3</v>
      </c>
      <c r="F50" s="18">
        <f>IF(ISNUMBER(D50), $B64 * E50, "")</f>
        <v>-1435.4066985645884</v>
      </c>
      <c r="G50" s="31">
        <v>20.7</v>
      </c>
      <c r="H50" s="32">
        <f t="shared" ref="H50:H53" si="19">IF(ISNUMBER(G50), (G50 - $B50) / $B50, "")</f>
        <v>-9.5693779904305887E-3</v>
      </c>
      <c r="I50" s="97">
        <f>IF(ISNUMBER(G50), $B64 * H50, "")</f>
        <v>-1435.4066985645884</v>
      </c>
      <c r="J50" s="15">
        <v>20.6</v>
      </c>
      <c r="K50" s="32">
        <f t="shared" ref="K50:K53" si="20">IF(ISNUMBER(J50), (J50 - $B50) / $B50, "")</f>
        <v>-1.4354066985645798E-2</v>
      </c>
      <c r="L50" s="18">
        <f>IF(ISNUMBER(J50), $B64 * K50, "")</f>
        <v>-2153.1100478468697</v>
      </c>
      <c r="M50" s="31">
        <v>20.5</v>
      </c>
      <c r="N50" s="32">
        <f t="shared" ref="N50:N53" si="21">IF(ISNUMBER(M50), (M50 - $B50) / $B50, "")</f>
        <v>-1.9138755980861177E-2</v>
      </c>
      <c r="O50" s="18">
        <f>IF(ISNUMBER(M50), $B64 * N50, "")</f>
        <v>-2870.8133971291768</v>
      </c>
      <c r="Q50" s="275"/>
      <c r="R50" s="275"/>
      <c r="S50" s="275"/>
    </row>
    <row r="51" spans="1:19" ht="17.25" customHeight="1" thickBot="1">
      <c r="A51" s="124" t="s">
        <v>220</v>
      </c>
      <c r="B51" s="125">
        <v>22.3</v>
      </c>
      <c r="C51" s="73">
        <v>4.5045045000000001E-3</v>
      </c>
      <c r="D51" s="15">
        <v>21.7</v>
      </c>
      <c r="E51" s="32">
        <f t="shared" si="18"/>
        <v>-2.690582959641262E-2</v>
      </c>
      <c r="F51" s="18">
        <f>IF(ISNUMBER(D51), $B64 * E51, "")</f>
        <v>-4035.874439461893</v>
      </c>
      <c r="G51" s="31">
        <v>21.5</v>
      </c>
      <c r="H51" s="32">
        <f t="shared" si="19"/>
        <v>-3.5874439461883442E-2</v>
      </c>
      <c r="I51" s="97">
        <f>IF(ISNUMBER(G51), $B64 * H51, "")</f>
        <v>-5381.1659192825164</v>
      </c>
      <c r="J51" s="15">
        <v>21.4</v>
      </c>
      <c r="K51" s="32">
        <f t="shared" si="20"/>
        <v>-4.035874439461893E-2</v>
      </c>
      <c r="L51" s="18">
        <f>IF(ISNUMBER(J51), $B64 * K51, "")</f>
        <v>-6053.8116591928392</v>
      </c>
      <c r="M51" s="31">
        <v>21.2</v>
      </c>
      <c r="N51" s="32">
        <f t="shared" si="21"/>
        <v>-4.9327354260089745E-2</v>
      </c>
      <c r="O51" s="18">
        <f>IF(ISNUMBER(M51), $B64 * N51, "")</f>
        <v>-7399.1031390134622</v>
      </c>
      <c r="Q51" s="275"/>
      <c r="R51" s="275"/>
      <c r="S51" s="275"/>
    </row>
    <row r="52" spans="1:19" ht="17.25" customHeight="1" thickBot="1">
      <c r="A52" s="124" t="s">
        <v>268</v>
      </c>
      <c r="B52" s="125">
        <v>99.8</v>
      </c>
      <c r="C52" s="73">
        <v>-2E-3</v>
      </c>
      <c r="D52" s="15">
        <v>98</v>
      </c>
      <c r="E52" s="32">
        <f t="shared" si="18"/>
        <v>-1.803607214428855E-2</v>
      </c>
      <c r="F52" s="18">
        <f>IF(ISNUMBER(D52), $B64 * E52, "")</f>
        <v>-2705.4108216432824</v>
      </c>
      <c r="G52" s="31">
        <v>97.3</v>
      </c>
      <c r="H52" s="32">
        <f t="shared" si="19"/>
        <v>-2.5050100200400802E-2</v>
      </c>
      <c r="I52" s="97">
        <f>IF(ISNUMBER(G52), $B64 * H52, "")</f>
        <v>-3757.5150300601204</v>
      </c>
      <c r="J52" s="15">
        <v>97.1</v>
      </c>
      <c r="K52" s="32">
        <f t="shared" si="20"/>
        <v>-2.7054108216432896E-2</v>
      </c>
      <c r="L52" s="18">
        <f>IF(ISNUMBER(J52), $B64 * K52, "")</f>
        <v>-4058.1162324649345</v>
      </c>
      <c r="M52" s="31">
        <v>96.1</v>
      </c>
      <c r="N52" s="32">
        <f t="shared" si="21"/>
        <v>-3.7074148296593216E-2</v>
      </c>
      <c r="O52" s="18">
        <f>IF(ISNUMBER(M52), $B64 * N52, "")</f>
        <v>-5561.1222444889827</v>
      </c>
      <c r="Q52" s="33"/>
      <c r="R52" s="33"/>
    </row>
    <row r="53" spans="1:19" ht="17.25" customHeight="1" thickBot="1">
      <c r="A53" s="129" t="s">
        <v>198</v>
      </c>
      <c r="B53" s="130">
        <v>29</v>
      </c>
      <c r="C53" s="75">
        <v>-3.4364260999999998E-3</v>
      </c>
      <c r="D53" s="24">
        <v>28.7</v>
      </c>
      <c r="E53" s="25">
        <f t="shared" si="18"/>
        <v>-1.0344827586206921E-2</v>
      </c>
      <c r="F53" s="100">
        <f>IF(ISNUMBER(D53), $B64 * E53, "")</f>
        <v>-1551.7241379310381</v>
      </c>
      <c r="G53" s="98">
        <v>28.3</v>
      </c>
      <c r="H53" s="25">
        <f t="shared" si="19"/>
        <v>-2.4137931034482734E-2</v>
      </c>
      <c r="I53" s="99">
        <f>IF(ISNUMBER(G53), $B64 * H53, "")</f>
        <v>-3620.6896551724103</v>
      </c>
      <c r="J53" s="24">
        <v>28.3</v>
      </c>
      <c r="K53" s="25">
        <f t="shared" si="20"/>
        <v>-2.4137931034482734E-2</v>
      </c>
      <c r="L53" s="100">
        <f>IF(ISNUMBER(J53), $B64 * K53, "")</f>
        <v>-3620.6896551724103</v>
      </c>
      <c r="M53" s="98">
        <v>28.3</v>
      </c>
      <c r="N53" s="25">
        <f t="shared" si="21"/>
        <v>-2.4137931034482734E-2</v>
      </c>
      <c r="O53" s="100">
        <f>IF(ISNUMBER(M53), $B64 * N53, "")</f>
        <v>-3620.6896551724103</v>
      </c>
      <c r="Q53" s="284"/>
      <c r="R53" s="285"/>
      <c r="S53" s="286"/>
    </row>
    <row r="54" spans="1:19" ht="17.25" customHeight="1">
      <c r="A54" s="122" t="s">
        <v>186</v>
      </c>
      <c r="B54" s="123">
        <v>25.9</v>
      </c>
      <c r="C54" s="72">
        <v>-3.8461538E-3</v>
      </c>
      <c r="D54" s="13">
        <v>25.6</v>
      </c>
      <c r="E54" s="14">
        <f>IF(ISNUMBER(D54), (D54 - $B54) / $B54, "")</f>
        <v>-1.1583011583011473E-2</v>
      </c>
      <c r="F54" s="16">
        <f>IF(ISNUMBER(D54), $B64 * E54, "")</f>
        <v>-1737.4517374517209</v>
      </c>
      <c r="G54" s="29">
        <v>25.6</v>
      </c>
      <c r="H54" s="14">
        <f>IF(ISNUMBER(G54), (G54 - $B54) / $B54, "")</f>
        <v>-1.1583011583011473E-2</v>
      </c>
      <c r="I54" s="96">
        <f>IF(ISNUMBER(G54), $B64 * H54, "")</f>
        <v>-1737.4517374517209</v>
      </c>
      <c r="J54" s="13">
        <v>25.4</v>
      </c>
      <c r="K54" s="14">
        <f>IF(ISNUMBER(J54), (J54 - $B54) / $B54, "")</f>
        <v>-1.9305019305019305E-2</v>
      </c>
      <c r="L54" s="16">
        <f>IF(ISNUMBER(J54), $B64 * K54, "")</f>
        <v>-2895.7528957528957</v>
      </c>
      <c r="M54" s="29">
        <v>25.3</v>
      </c>
      <c r="N54" s="14">
        <f>IF(ISNUMBER(M54), (M54 - $B54) / $B54, "")</f>
        <v>-2.3166023166023085E-2</v>
      </c>
      <c r="O54" s="16">
        <f>IF(ISNUMBER(M54), $B64 * N54, "")</f>
        <v>-3474.9034749034627</v>
      </c>
      <c r="Q54" s="287"/>
      <c r="R54" s="288"/>
      <c r="S54" s="289"/>
    </row>
    <row r="55" spans="1:19" ht="17.25" customHeight="1" thickBot="1">
      <c r="A55" s="124" t="s">
        <v>228</v>
      </c>
      <c r="B55" s="125">
        <v>18.7</v>
      </c>
      <c r="C55" s="73">
        <v>-5.3191489E-3</v>
      </c>
      <c r="D55" s="15">
        <v>18.899999999999999</v>
      </c>
      <c r="E55" s="32">
        <f t="shared" ref="E55:E58" si="22">IF(ISNUMBER(D55), (D55 - $B55) / $B55, "")</f>
        <v>1.0695187165775364E-2</v>
      </c>
      <c r="F55" s="18">
        <f>IF(ISNUMBER(D55), $B64 * E55, "")</f>
        <v>1604.2780748663047</v>
      </c>
      <c r="G55" s="31">
        <v>18.600000000000001</v>
      </c>
      <c r="H55" s="32">
        <f t="shared" ref="H55:H58" si="23">IF(ISNUMBER(G55), (G55 - $B55) / $B55, "")</f>
        <v>-5.3475935828875866E-3</v>
      </c>
      <c r="I55" s="97">
        <f>IF(ISNUMBER(G55), $B64 * H55, "")</f>
        <v>-802.13903743313801</v>
      </c>
      <c r="J55" s="15">
        <v>18.600000000000001</v>
      </c>
      <c r="K55" s="32">
        <f t="shared" ref="K55:K58" si="24">IF(ISNUMBER(J55), (J55 - $B55) / $B55, "")</f>
        <v>-5.3475935828875866E-3</v>
      </c>
      <c r="L55" s="18">
        <f>IF(ISNUMBER(J55), $B64 * K55, "")</f>
        <v>-802.13903743313801</v>
      </c>
      <c r="M55" s="31">
        <v>18.399999999999999</v>
      </c>
      <c r="N55" s="32">
        <f t="shared" ref="N55:N58" si="25">IF(ISNUMBER(M55), (M55 - $B55) / $B55, "")</f>
        <v>-1.6042780748663141E-2</v>
      </c>
      <c r="O55" s="18">
        <f>IF(ISNUMBER(M55), $B64 * N55, "")</f>
        <v>-2406.4171122994712</v>
      </c>
      <c r="Q55" s="290"/>
      <c r="R55" s="291"/>
      <c r="S55" s="292"/>
    </row>
    <row r="56" spans="1:19" ht="17.25" customHeight="1" thickBot="1">
      <c r="A56" s="124" t="s">
        <v>222</v>
      </c>
      <c r="B56" s="125">
        <v>18.7</v>
      </c>
      <c r="C56" s="73">
        <v>-5.3191489E-3</v>
      </c>
      <c r="D56" s="15">
        <v>18.8</v>
      </c>
      <c r="E56" s="32">
        <f t="shared" si="22"/>
        <v>5.3475935828877766E-3</v>
      </c>
      <c r="F56" s="18">
        <f>IF(ISNUMBER(D56), $B64 * E56, "")</f>
        <v>802.13903743316644</v>
      </c>
      <c r="G56" s="31">
        <v>18.899999999999999</v>
      </c>
      <c r="H56" s="32">
        <f t="shared" si="23"/>
        <v>1.0695187165775364E-2</v>
      </c>
      <c r="I56" s="97">
        <f>IF(ISNUMBER(G56), $B64 * H56, "")</f>
        <v>1604.2780748663047</v>
      </c>
      <c r="J56" s="15">
        <v>18.7</v>
      </c>
      <c r="K56" s="32">
        <f t="shared" si="24"/>
        <v>0</v>
      </c>
      <c r="L56" s="18">
        <f>IF(ISNUMBER(J56), $B64 * K56, "")</f>
        <v>0</v>
      </c>
      <c r="M56" s="31">
        <v>18.8</v>
      </c>
      <c r="N56" s="32">
        <f t="shared" si="25"/>
        <v>5.3475935828877766E-3</v>
      </c>
      <c r="O56" s="18">
        <f>IF(ISNUMBER(M56), $B64 * N56, "")</f>
        <v>802.13903743316644</v>
      </c>
      <c r="Q56" s="275"/>
      <c r="R56" s="275"/>
      <c r="S56" s="275"/>
    </row>
    <row r="57" spans="1:19" ht="17.25" customHeight="1" thickBot="1">
      <c r="A57" s="124" t="s">
        <v>154</v>
      </c>
      <c r="B57" s="125">
        <v>21.5</v>
      </c>
      <c r="C57" s="73">
        <v>-9.2165899000000006E-3</v>
      </c>
      <c r="D57" s="15">
        <v>21.5</v>
      </c>
      <c r="E57" s="32">
        <f t="shared" si="22"/>
        <v>0</v>
      </c>
      <c r="F57" s="18">
        <f>IF(ISNUMBER(D57), $B64 * E57, "")</f>
        <v>0</v>
      </c>
      <c r="G57" s="31">
        <v>21.2</v>
      </c>
      <c r="H57" s="32">
        <f t="shared" si="23"/>
        <v>-1.3953488372093056E-2</v>
      </c>
      <c r="I57" s="97">
        <f>IF(ISNUMBER(G57), $B64 * H57, "")</f>
        <v>-2093.0232558139583</v>
      </c>
      <c r="J57" s="15">
        <v>21.2</v>
      </c>
      <c r="K57" s="32">
        <f t="shared" si="24"/>
        <v>-1.3953488372093056E-2</v>
      </c>
      <c r="L57" s="18">
        <f>IF(ISNUMBER(J57), $B64 * K57, "")</f>
        <v>-2093.0232558139583</v>
      </c>
      <c r="M57" s="31">
        <v>21.1</v>
      </c>
      <c r="N57" s="32">
        <f t="shared" si="25"/>
        <v>-1.8604651162790631E-2</v>
      </c>
      <c r="O57" s="18">
        <f>IF(ISNUMBER(M57), $B64 * N57, "")</f>
        <v>-2790.6976744185949</v>
      </c>
      <c r="Q57" s="270"/>
      <c r="R57" s="270"/>
      <c r="S57" s="270"/>
    </row>
    <row r="58" spans="1:19" ht="17.25" customHeight="1" thickBot="1">
      <c r="A58" s="126" t="s">
        <v>236</v>
      </c>
      <c r="B58" s="127">
        <v>69.599999999999994</v>
      </c>
      <c r="C58" s="74">
        <v>-1.41643059E-2</v>
      </c>
      <c r="D58" s="20">
        <v>69.3</v>
      </c>
      <c r="E58" s="21">
        <f t="shared" si="22"/>
        <v>-4.3103448275861661E-3</v>
      </c>
      <c r="F58" s="22">
        <f>IF(ISNUMBER(D58), $B64 * E58, "")</f>
        <v>-646.55172413792491</v>
      </c>
      <c r="G58" s="30">
        <v>69.2</v>
      </c>
      <c r="H58" s="21">
        <f t="shared" si="23"/>
        <v>-5.7471264367814868E-3</v>
      </c>
      <c r="I58" s="101">
        <f>IF(ISNUMBER(G58), $B64 * H58, "")</f>
        <v>-862.06896551722298</v>
      </c>
      <c r="J58" s="20">
        <v>68.5</v>
      </c>
      <c r="K58" s="21">
        <f t="shared" si="24"/>
        <v>-1.5804597701149344E-2</v>
      </c>
      <c r="L58" s="22">
        <f>IF(ISNUMBER(J58), $B64 * K58, "")</f>
        <v>-2370.6896551724017</v>
      </c>
      <c r="M58" s="30">
        <v>68.3</v>
      </c>
      <c r="N58" s="21">
        <f t="shared" si="25"/>
        <v>-1.867816091954019E-2</v>
      </c>
      <c r="O58" s="22">
        <f>IF(ISNUMBER(M58), $B64 * N58, "")</f>
        <v>-2801.7241379310285</v>
      </c>
      <c r="Q58" s="270"/>
      <c r="R58" s="270"/>
      <c r="S58" s="270"/>
    </row>
    <row r="59" spans="1:19" ht="17.25" customHeight="1" thickBot="1">
      <c r="A59" s="124" t="s">
        <v>172</v>
      </c>
      <c r="B59" s="128">
        <v>25.6</v>
      </c>
      <c r="C59" s="76">
        <v>-1.5384615399999999E-2</v>
      </c>
      <c r="D59" s="102">
        <v>25.6</v>
      </c>
      <c r="E59" s="103">
        <f>IF(ISNUMBER(D59), (D59 - $B59) / $B59, "")</f>
        <v>0</v>
      </c>
      <c r="F59" s="104">
        <f>IF(ISNUMBER(D59), $B64 * E59, "")</f>
        <v>0</v>
      </c>
      <c r="G59" s="105">
        <v>25.5</v>
      </c>
      <c r="H59" s="103">
        <f>IF(ISNUMBER(G59), (G59 - $B59) / $B59, "")</f>
        <v>-3.9062500000000555E-3</v>
      </c>
      <c r="I59" s="106">
        <f>IF(ISNUMBER(G59), $B64 * H59, "")</f>
        <v>-585.9375000000083</v>
      </c>
      <c r="J59" s="102">
        <v>25.3</v>
      </c>
      <c r="K59" s="103">
        <f>IF(ISNUMBER(J59), (J59 - $B59) / $B59, "")</f>
        <v>-1.1718750000000028E-2</v>
      </c>
      <c r="L59" s="104">
        <f>IF(ISNUMBER(J59), $B64 * K59, "")</f>
        <v>-1757.8125000000041</v>
      </c>
      <c r="M59" s="105">
        <v>25.2</v>
      </c>
      <c r="N59" s="103">
        <f>IF(ISNUMBER(M59), (M59 - $B59) / $B59, "")</f>
        <v>-1.5625000000000083E-2</v>
      </c>
      <c r="O59" s="104">
        <f>IF(ISNUMBER(M59), $B64 * N59, "")</f>
        <v>-2343.7500000000123</v>
      </c>
      <c r="Q59" s="275"/>
      <c r="R59" s="275"/>
      <c r="S59" s="275"/>
    </row>
    <row r="60" spans="1:19" ht="17.25" customHeight="1" thickBot="1">
      <c r="A60" s="124" t="s">
        <v>214</v>
      </c>
      <c r="B60" s="125">
        <v>22.4</v>
      </c>
      <c r="C60" s="73">
        <v>-1.75438596E-2</v>
      </c>
      <c r="D60" s="15">
        <v>22.4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22.3</v>
      </c>
      <c r="H60" s="32">
        <f t="shared" ref="H60:H63" si="27">IF(ISNUMBER(G60), (G60 - $B60) / $B60, "")</f>
        <v>-4.4642857142856195E-3</v>
      </c>
      <c r="I60" s="97">
        <f>IF(ISNUMBER(G60), $B64 * H60, "")</f>
        <v>-669.6428571428429</v>
      </c>
      <c r="J60" s="15">
        <v>22.2</v>
      </c>
      <c r="K60" s="32">
        <f t="shared" ref="K60:K63" si="28">IF(ISNUMBER(J60), (J60 - $B60) / $B60, "")</f>
        <v>-8.9285714285713969E-3</v>
      </c>
      <c r="L60" s="18">
        <f>IF(ISNUMBER(J60), $B64 * K60, "")</f>
        <v>-1339.2857142857094</v>
      </c>
      <c r="M60" s="31">
        <v>22.2</v>
      </c>
      <c r="N60" s="32">
        <f t="shared" ref="N60:N63" si="29">IF(ISNUMBER(M60), (M60 - $B60) / $B60, "")</f>
        <v>-8.9285714285713969E-3</v>
      </c>
      <c r="O60" s="18">
        <f>IF(ISNUMBER(M60), $B64 * N60, "")</f>
        <v>-1339.2857142857094</v>
      </c>
      <c r="Q60" s="275"/>
      <c r="R60" s="275"/>
      <c r="S60" s="275"/>
    </row>
    <row r="61" spans="1:19" ht="17.25" customHeight="1" thickBot="1">
      <c r="A61" s="124" t="s">
        <v>218</v>
      </c>
      <c r="B61" s="125">
        <v>28.8</v>
      </c>
      <c r="C61" s="73">
        <v>-2.0408163300000001E-2</v>
      </c>
      <c r="D61" s="15">
        <v>28.9</v>
      </c>
      <c r="E61" s="32">
        <f t="shared" si="26"/>
        <v>3.4722222222221483E-3</v>
      </c>
      <c r="F61" s="18">
        <f>IF(ISNUMBER(D61), $B64 * E61, "")</f>
        <v>520.83333333332223</v>
      </c>
      <c r="G61" s="31">
        <v>28.7</v>
      </c>
      <c r="H61" s="32">
        <f t="shared" si="27"/>
        <v>-3.4722222222222715E-3</v>
      </c>
      <c r="I61" s="97">
        <f>IF(ISNUMBER(G61), $B64 * H61, "")</f>
        <v>-520.83333333334076</v>
      </c>
      <c r="J61" s="15">
        <v>28.6</v>
      </c>
      <c r="K61" s="32">
        <f t="shared" si="28"/>
        <v>-6.9444444444444198E-3</v>
      </c>
      <c r="L61" s="18">
        <f>IF(ISNUMBER(J61), $B64 * K61, "")</f>
        <v>-1041.6666666666629</v>
      </c>
      <c r="M61" s="31">
        <v>28.5</v>
      </c>
      <c r="N61" s="32">
        <f t="shared" si="29"/>
        <v>-1.041666666666669E-2</v>
      </c>
      <c r="O61" s="18">
        <f>IF(ISNUMBER(M61), $B64 * N61, "")</f>
        <v>-1562.5000000000036</v>
      </c>
      <c r="Q61" s="275"/>
      <c r="R61" s="275"/>
      <c r="S61" s="275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97"/>
      <c r="R62" s="298"/>
      <c r="S62" s="299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00"/>
      <c r="R63" s="301"/>
      <c r="S63" s="302"/>
    </row>
    <row r="64" spans="1:19" ht="17.25" customHeight="1" thickBot="1">
      <c r="A64" s="131" t="s">
        <v>301</v>
      </c>
      <c r="B64" s="308">
        <f>$B$37</f>
        <v>150000</v>
      </c>
      <c r="C64" s="309"/>
      <c r="D64" s="26" t="s">
        <v>302</v>
      </c>
      <c r="E64" s="27">
        <f>IF(COUNT(E44:E63), SUM(E44:E63) / COUNT(E44:E63), 0)</f>
        <v>-2.8032605798057489E-4</v>
      </c>
      <c r="F64" s="28">
        <f>SUM(F44:F63)</f>
        <v>-756.88035654755151</v>
      </c>
      <c r="G64" s="26" t="s">
        <v>302</v>
      </c>
      <c r="H64" s="27">
        <f>IF(COUNT(H44:H63), SUM(H44:H63) / COUNT(H44:H63), 0)</f>
        <v>-4.1172090201973717E-3</v>
      </c>
      <c r="I64" s="28">
        <f>SUM(I44:I63)</f>
        <v>-11116.464354532902</v>
      </c>
      <c r="J64" s="26" t="s">
        <v>302</v>
      </c>
      <c r="K64" s="27">
        <f>IF(COUNT(K44:K63), SUM(K44:K63) / COUNT(K44:K63), 0)</f>
        <v>-5.4745144747983601E-3</v>
      </c>
      <c r="L64" s="28">
        <f>SUM(L44:L63)</f>
        <v>-14781.189081955576</v>
      </c>
      <c r="M64" s="26" t="s">
        <v>302</v>
      </c>
      <c r="N64" s="27">
        <f>IF(COUNT(N44:N63), SUM(N44:N63) / COUNT(N44:N63), 0)</f>
        <v>-5.2814960632924903E-3</v>
      </c>
      <c r="O64" s="28">
        <f>SUM(O44:O63)</f>
        <v>-14260.03937088973</v>
      </c>
      <c r="Q64" s="303"/>
      <c r="R64" s="304"/>
      <c r="S64" s="305"/>
    </row>
    <row r="65" spans="1:19" ht="17.25" customHeight="1"/>
    <row r="66" spans="1:19" ht="17.25" customHeight="1" thickBot="1"/>
    <row r="67" spans="1:19" ht="17.25" thickBot="1">
      <c r="A67" s="249" t="s">
        <v>45</v>
      </c>
      <c r="B67" s="250"/>
      <c r="C67" s="250"/>
      <c r="D67" s="250"/>
      <c r="E67" s="250"/>
      <c r="F67" s="250"/>
      <c r="G67" s="250"/>
      <c r="H67" s="250"/>
      <c r="I67" s="250"/>
      <c r="J67" s="250"/>
      <c r="K67" s="250"/>
      <c r="L67" s="250"/>
      <c r="M67" s="250"/>
      <c r="N67" s="250"/>
      <c r="O67" s="251"/>
      <c r="Q67" s="270"/>
      <c r="R67" s="270"/>
      <c r="S67" s="270"/>
    </row>
    <row r="68" spans="1:19" ht="17.25" thickBot="1">
      <c r="A68" s="159" t="s">
        <v>298</v>
      </c>
      <c r="B68" s="249" t="s">
        <v>49</v>
      </c>
      <c r="C68" s="251"/>
      <c r="D68" s="249" t="s">
        <v>58</v>
      </c>
      <c r="E68" s="250"/>
      <c r="F68" s="251"/>
      <c r="G68" s="276">
        <f>_xlfn.IFNA(VLOOKUP(B68, 현재가테이블!$B$2:$D$200, 2, FALSE), "-")</f>
        <v>60874000</v>
      </c>
      <c r="H68" s="277"/>
      <c r="I68" s="278"/>
      <c r="J68" s="249" t="s">
        <v>59</v>
      </c>
      <c r="K68" s="250"/>
      <c r="L68" s="251"/>
      <c r="M68" s="279">
        <f>_xlfn.IFNA(VLOOKUP(B68, 현재가테이블!$B$2:$D$200, 3, FALSE), "-")</f>
        <v>-1.4936000099999999E-2</v>
      </c>
      <c r="N68" s="280"/>
      <c r="O68" s="281"/>
      <c r="Q68" s="270"/>
      <c r="R68" s="270"/>
      <c r="S68" s="270"/>
    </row>
    <row r="69" spans="1:19" ht="17.25" thickBot="1">
      <c r="A69" s="310" t="s">
        <v>55</v>
      </c>
      <c r="B69" s="312" t="str">
        <f>TEXT($G$1, "[$-ko-KR]yyyy-mm-dd(ddd) ") &amp; "오전 00:00"</f>
        <v>2021-05-06(목) 오전 00:00</v>
      </c>
      <c r="C69" s="313"/>
      <c r="D69" s="272" t="str">
        <f>TEXT($G$1, "[$-ko-KR]yyyy-mm-dd(ddd) ") &amp; "오후 14:00"</f>
        <v>2021-05-06(목) 오후 14:00</v>
      </c>
      <c r="E69" s="273"/>
      <c r="F69" s="274"/>
      <c r="G69" s="272" t="str">
        <f>TEXT($G$1, "[$-ko-KR]yyyy-mm-dd(ddd) ") &amp; "오후 19:00"</f>
        <v>2021-05-06(목) 오후 19:00</v>
      </c>
      <c r="H69" s="273"/>
      <c r="I69" s="274"/>
      <c r="J69" s="272" t="str">
        <f>TEXT($G$1, "[$-ko-KR]yyyy-mm-dd(ddd) ") &amp; "오후 21:00"</f>
        <v>2021-05-06(목) 오후 21:00</v>
      </c>
      <c r="K69" s="273"/>
      <c r="L69" s="274"/>
      <c r="M69" s="272" t="str">
        <f>TEXT($G$1+1, "[$-ko-KR]yyyy-mm-dd(ddd) ") &amp; "오전 00:00"</f>
        <v>2021-05-07(금) 오전 00:00</v>
      </c>
      <c r="N69" s="273"/>
      <c r="O69" s="274"/>
      <c r="Q69" s="270"/>
      <c r="R69" s="270"/>
      <c r="S69" s="270"/>
    </row>
    <row r="70" spans="1:19" ht="17.25" thickBot="1">
      <c r="A70" s="311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0" t="s">
        <v>58</v>
      </c>
      <c r="H70" s="161" t="s">
        <v>299</v>
      </c>
      <c r="I70" s="162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75"/>
      <c r="R70" s="275"/>
      <c r="S70" s="275"/>
    </row>
    <row r="71" spans="1:19" ht="17.25" thickBot="1">
      <c r="A71" s="122" t="s">
        <v>296</v>
      </c>
      <c r="B71" s="123">
        <v>788</v>
      </c>
      <c r="C71" s="72">
        <v>0.16740740740000001</v>
      </c>
      <c r="D71" s="13">
        <v>745</v>
      </c>
      <c r="E71" s="14">
        <f>IF(ISNUMBER(D71), (D71 - $B71) / $B71, "")</f>
        <v>-5.4568527918781723E-2</v>
      </c>
      <c r="F71" s="16">
        <f>IF(ISNUMBER(D71), $B91 * E71, "")</f>
        <v>-8185.2791878172584</v>
      </c>
      <c r="G71" s="29">
        <v>726</v>
      </c>
      <c r="H71" s="14">
        <f>IF(ISNUMBER(G71), (G71 - $B71) / $B71, "")</f>
        <v>-7.8680203045685279E-2</v>
      </c>
      <c r="I71" s="96">
        <f>IF(ISNUMBER(G71), $B91 * H71, "")</f>
        <v>-11802.030456852792</v>
      </c>
      <c r="J71" s="13">
        <v>739</v>
      </c>
      <c r="K71" s="14">
        <f>IF(ISNUMBER(J71), (J71 - $B71) / $B71, "")</f>
        <v>-6.2182741116751268E-2</v>
      </c>
      <c r="L71" s="16">
        <f>IF(ISNUMBER(J71), $B91 * K71, "")</f>
        <v>-9327.4111675126896</v>
      </c>
      <c r="M71" s="29">
        <v>735</v>
      </c>
      <c r="N71" s="14">
        <f>IF(ISNUMBER(M71), (M71 - $B71) / $B71, "")</f>
        <v>-6.7258883248730958E-2</v>
      </c>
      <c r="O71" s="16">
        <f>IF(ISNUMBER(M71), $B91 * N71, "")</f>
        <v>-10088.832487309644</v>
      </c>
      <c r="Q71" s="270"/>
      <c r="R71" s="270"/>
      <c r="S71" s="270"/>
    </row>
    <row r="72" spans="1:19" ht="17.25" thickBot="1">
      <c r="A72" s="124" t="s">
        <v>142</v>
      </c>
      <c r="B72" s="125">
        <v>460</v>
      </c>
      <c r="C72" s="73">
        <v>0.11380145279999999</v>
      </c>
      <c r="D72" s="15">
        <v>472</v>
      </c>
      <c r="E72" s="32">
        <f t="shared" ref="E72:E75" si="30">IF(ISNUMBER(D72), (D72 - $B72) / $B72, "")</f>
        <v>2.6086956521739129E-2</v>
      </c>
      <c r="F72" s="18">
        <f>IF(ISNUMBER(D72), $B91 * E72, "")</f>
        <v>3913.0434782608695</v>
      </c>
      <c r="G72" s="31">
        <v>480</v>
      </c>
      <c r="H72" s="32">
        <f t="shared" ref="H72:H75" si="31">IF(ISNUMBER(G72), (G72 - $B72) / $B72, "")</f>
        <v>4.3478260869565216E-2</v>
      </c>
      <c r="I72" s="97">
        <f>IF(ISNUMBER(G72), $B91 * H72, "")</f>
        <v>6521.7391304347821</v>
      </c>
      <c r="J72" s="15">
        <v>476</v>
      </c>
      <c r="K72" s="32">
        <f t="shared" ref="K72:K75" si="32">IF(ISNUMBER(J72), (J72 - $B72) / $B72, "")</f>
        <v>3.4782608695652174E-2</v>
      </c>
      <c r="L72" s="18">
        <f>IF(ISNUMBER(J72), $B91 * K72, "")</f>
        <v>5217.391304347826</v>
      </c>
      <c r="M72" s="31">
        <v>468</v>
      </c>
      <c r="N72" s="32">
        <f t="shared" ref="N72:N75" si="33">IF(ISNUMBER(M72), (M72 - $B72) / $B72, "")</f>
        <v>1.7391304347826087E-2</v>
      </c>
      <c r="O72" s="18">
        <f>IF(ISNUMBER(M72), $B91 * N72, "")</f>
        <v>2608.695652173913</v>
      </c>
      <c r="Q72" s="270"/>
      <c r="R72" s="270"/>
      <c r="S72" s="270"/>
    </row>
    <row r="73" spans="1:19" ht="17.25" thickBot="1">
      <c r="A73" s="124" t="s">
        <v>51</v>
      </c>
      <c r="B73" s="125">
        <v>699</v>
      </c>
      <c r="C73" s="73">
        <v>0.1077654517</v>
      </c>
      <c r="D73" s="15">
        <v>757</v>
      </c>
      <c r="E73" s="32">
        <f t="shared" si="30"/>
        <v>8.2975679542203154E-2</v>
      </c>
      <c r="F73" s="18">
        <f>IF(ISNUMBER(D73), $B91 * E73, "")</f>
        <v>12446.351931330473</v>
      </c>
      <c r="G73" s="31">
        <v>739</v>
      </c>
      <c r="H73" s="32">
        <f t="shared" si="31"/>
        <v>5.7224606580829757E-2</v>
      </c>
      <c r="I73" s="97">
        <f>IF(ISNUMBER(G73), $B91 * H73, "")</f>
        <v>8583.6909871244643</v>
      </c>
      <c r="J73" s="15">
        <v>752</v>
      </c>
      <c r="K73" s="32">
        <f t="shared" si="32"/>
        <v>7.5822603719599424E-2</v>
      </c>
      <c r="L73" s="18">
        <f>IF(ISNUMBER(J73), $B91 * K73, "")</f>
        <v>11373.390557939914</v>
      </c>
      <c r="M73" s="31">
        <v>767</v>
      </c>
      <c r="N73" s="32">
        <f t="shared" si="33"/>
        <v>9.7281831187410586E-2</v>
      </c>
      <c r="O73" s="18">
        <f>IF(ISNUMBER(M73), $B91 * N73, "")</f>
        <v>14592.274678111587</v>
      </c>
      <c r="Q73" s="275"/>
      <c r="R73" s="275"/>
      <c r="S73" s="275"/>
    </row>
    <row r="74" spans="1:19" ht="17.25" thickBot="1">
      <c r="A74" s="124" t="s">
        <v>156</v>
      </c>
      <c r="B74" s="125">
        <v>161</v>
      </c>
      <c r="C74" s="73">
        <v>7.3333333299999998E-2</v>
      </c>
      <c r="D74" s="15">
        <v>176</v>
      </c>
      <c r="E74" s="32">
        <f t="shared" si="30"/>
        <v>9.3167701863354033E-2</v>
      </c>
      <c r="F74" s="18">
        <f>IF(ISNUMBER(D74), $B91 * E74, "")</f>
        <v>13975.155279503106</v>
      </c>
      <c r="G74" s="31">
        <v>172</v>
      </c>
      <c r="H74" s="32">
        <f t="shared" si="31"/>
        <v>6.8322981366459631E-2</v>
      </c>
      <c r="I74" s="97">
        <f>IF(ISNUMBER(G74), $B91 * H74, "")</f>
        <v>10248.447204968945</v>
      </c>
      <c r="J74" s="15">
        <v>174</v>
      </c>
      <c r="K74" s="32">
        <f t="shared" si="32"/>
        <v>8.0745341614906832E-2</v>
      </c>
      <c r="L74" s="18">
        <f>IF(ISNUMBER(J74), $B91 * K74, "")</f>
        <v>12111.801242236024</v>
      </c>
      <c r="M74" s="31">
        <v>183</v>
      </c>
      <c r="N74" s="32">
        <f t="shared" si="33"/>
        <v>0.13664596273291926</v>
      </c>
      <c r="O74" s="18">
        <f>IF(ISNUMBER(M74), $B91 * N74, "")</f>
        <v>20496.89440993789</v>
      </c>
      <c r="Q74" s="275"/>
      <c r="R74" s="275"/>
      <c r="S74" s="275"/>
    </row>
    <row r="75" spans="1:19" ht="17.25" thickBot="1">
      <c r="A75" s="126" t="s">
        <v>54</v>
      </c>
      <c r="B75" s="127">
        <v>378</v>
      </c>
      <c r="C75" s="74">
        <v>6.7796610199999996E-2</v>
      </c>
      <c r="D75" s="20">
        <v>374</v>
      </c>
      <c r="E75" s="21">
        <f t="shared" si="30"/>
        <v>-1.0582010582010581E-2</v>
      </c>
      <c r="F75" s="22">
        <f>IF(ISNUMBER(D75), $B91 * E75, "")</f>
        <v>-1587.3015873015872</v>
      </c>
      <c r="G75" s="30">
        <v>377</v>
      </c>
      <c r="H75" s="21">
        <f t="shared" si="31"/>
        <v>-2.6455026455026454E-3</v>
      </c>
      <c r="I75" s="101">
        <f>IF(ISNUMBER(G75), $B91 * H75, "")</f>
        <v>-396.82539682539681</v>
      </c>
      <c r="J75" s="20">
        <v>374</v>
      </c>
      <c r="K75" s="21">
        <f t="shared" si="32"/>
        <v>-1.0582010582010581E-2</v>
      </c>
      <c r="L75" s="22">
        <f>IF(ISNUMBER(J75), $B91 * K75, "")</f>
        <v>-1587.3015873015872</v>
      </c>
      <c r="M75" s="30">
        <v>373</v>
      </c>
      <c r="N75" s="21">
        <f t="shared" si="33"/>
        <v>-1.3227513227513227E-2</v>
      </c>
      <c r="O75" s="22">
        <f>IF(ISNUMBER(M75), $B91 * N75, "")</f>
        <v>-1984.1269841269841</v>
      </c>
      <c r="Q75" s="275"/>
      <c r="R75" s="275"/>
      <c r="S75" s="275"/>
    </row>
    <row r="76" spans="1:19" ht="17.25" thickBot="1">
      <c r="A76" s="124" t="s">
        <v>168</v>
      </c>
      <c r="B76" s="128">
        <v>210</v>
      </c>
      <c r="C76" s="76">
        <v>6.0606060599999997E-2</v>
      </c>
      <c r="D76" s="102">
        <v>257</v>
      </c>
      <c r="E76" s="103">
        <f>IF(ISNUMBER(D76), (D76 - $B76) / $B76, "")</f>
        <v>0.22380952380952382</v>
      </c>
      <c r="F76" s="104">
        <f>IF(ISNUMBER(D76), $B91 * E76, "")</f>
        <v>33571.428571428572</v>
      </c>
      <c r="G76" s="105">
        <v>254</v>
      </c>
      <c r="H76" s="103">
        <f>IF(ISNUMBER(G76), (G76 - $B76) / $B76, "")</f>
        <v>0.20952380952380953</v>
      </c>
      <c r="I76" s="106">
        <f>IF(ISNUMBER(G76), $B91 * H76, "")</f>
        <v>31428.571428571428</v>
      </c>
      <c r="J76" s="102">
        <v>254</v>
      </c>
      <c r="K76" s="103">
        <f>IF(ISNUMBER(J76), (J76 - $B76) / $B76, "")</f>
        <v>0.20952380952380953</v>
      </c>
      <c r="L76" s="104">
        <f>IF(ISNUMBER(J76), $B91 * K76, "")</f>
        <v>31428.571428571428</v>
      </c>
      <c r="M76" s="105">
        <v>255</v>
      </c>
      <c r="N76" s="103">
        <f>IF(ISNUMBER(M76), (M76 - $B76) / $B76, "")</f>
        <v>0.21428571428571427</v>
      </c>
      <c r="O76" s="104">
        <f>IF(ISNUMBER(M76), $B91 * N76, "")</f>
        <v>32142.857142857141</v>
      </c>
      <c r="Q76" s="275"/>
      <c r="R76" s="275"/>
      <c r="S76" s="275"/>
    </row>
    <row r="77" spans="1:19" ht="17.25" thickBot="1">
      <c r="A77" s="124" t="s">
        <v>136</v>
      </c>
      <c r="B77" s="125">
        <v>255</v>
      </c>
      <c r="C77" s="73">
        <v>4.9382716E-2</v>
      </c>
      <c r="D77" s="15">
        <v>261</v>
      </c>
      <c r="E77" s="32">
        <f t="shared" ref="E77:E80" si="34">IF(ISNUMBER(D77), (D77 - $B77) / $B77, "")</f>
        <v>2.3529411764705882E-2</v>
      </c>
      <c r="F77" s="18">
        <f>IF(ISNUMBER(D77), $B91 * E77, "")</f>
        <v>3529.4117647058824</v>
      </c>
      <c r="G77" s="31">
        <v>278</v>
      </c>
      <c r="H77" s="32">
        <f t="shared" ref="H77:H80" si="35">IF(ISNUMBER(G77), (G77 - $B77) / $B77, "")</f>
        <v>9.0196078431372548E-2</v>
      </c>
      <c r="I77" s="97">
        <f>IF(ISNUMBER(G77), $B91 * H77, "")</f>
        <v>13529.411764705883</v>
      </c>
      <c r="J77" s="15">
        <v>296</v>
      </c>
      <c r="K77" s="32">
        <f t="shared" ref="K77:K80" si="36">IF(ISNUMBER(J77), (J77 - $B77) / $B77, "")</f>
        <v>0.16078431372549021</v>
      </c>
      <c r="L77" s="18">
        <f>IF(ISNUMBER(J77), $B91 * K77, "")</f>
        <v>24117.647058823532</v>
      </c>
      <c r="M77" s="31">
        <v>292</v>
      </c>
      <c r="N77" s="32">
        <f t="shared" ref="N77:N80" si="37">IF(ISNUMBER(M77), (M77 - $B77) / $B77, "")</f>
        <v>0.14509803921568629</v>
      </c>
      <c r="O77" s="18">
        <f>IF(ISNUMBER(M77), $B91 * N77, "")</f>
        <v>21764.705882352944</v>
      </c>
      <c r="Q77" s="275"/>
      <c r="R77" s="275"/>
      <c r="S77" s="275"/>
    </row>
    <row r="78" spans="1:19" ht="17.25" thickBot="1">
      <c r="A78" s="124" t="s">
        <v>57</v>
      </c>
      <c r="B78" s="125">
        <v>406</v>
      </c>
      <c r="C78" s="73">
        <v>4.1025641000000002E-2</v>
      </c>
      <c r="D78" s="15">
        <v>465</v>
      </c>
      <c r="E78" s="32">
        <f t="shared" si="34"/>
        <v>0.14532019704433496</v>
      </c>
      <c r="F78" s="18">
        <f>IF(ISNUMBER(D78), $B91 * E78, "")</f>
        <v>21798.029556650246</v>
      </c>
      <c r="G78" s="31">
        <v>462</v>
      </c>
      <c r="H78" s="32">
        <f t="shared" si="35"/>
        <v>0.13793103448275862</v>
      </c>
      <c r="I78" s="97">
        <f>IF(ISNUMBER(G78), $B91 * H78, "")</f>
        <v>20689.655172413793</v>
      </c>
      <c r="J78" s="15">
        <v>458</v>
      </c>
      <c r="K78" s="32">
        <f t="shared" si="36"/>
        <v>0.12807881773399016</v>
      </c>
      <c r="L78" s="18">
        <f>IF(ISNUMBER(J78), $B91 * K78, "")</f>
        <v>19211.822660098525</v>
      </c>
      <c r="M78" s="31">
        <v>460</v>
      </c>
      <c r="N78" s="32">
        <f t="shared" si="37"/>
        <v>0.13300492610837439</v>
      </c>
      <c r="O78" s="18">
        <f>IF(ISNUMBER(M78), $B91 * N78, "")</f>
        <v>19950.738916256159</v>
      </c>
      <c r="Q78" s="275"/>
      <c r="R78" s="275"/>
      <c r="S78" s="275"/>
    </row>
    <row r="79" spans="1:19" ht="17.25" thickBot="1">
      <c r="A79" s="124" t="s">
        <v>278</v>
      </c>
      <c r="B79" s="125">
        <v>156</v>
      </c>
      <c r="C79" s="73">
        <v>0.04</v>
      </c>
      <c r="D79" s="15">
        <v>168</v>
      </c>
      <c r="E79" s="32">
        <f t="shared" si="34"/>
        <v>7.6923076923076927E-2</v>
      </c>
      <c r="F79" s="18">
        <f>IF(ISNUMBER(D79), $B91 * E79, "")</f>
        <v>11538.461538461539</v>
      </c>
      <c r="G79" s="31">
        <v>165</v>
      </c>
      <c r="H79" s="32">
        <f t="shared" si="35"/>
        <v>5.7692307692307696E-2</v>
      </c>
      <c r="I79" s="97">
        <f>IF(ISNUMBER(G79), $B91 * H79, "")</f>
        <v>8653.8461538461543</v>
      </c>
      <c r="J79" s="15">
        <v>167</v>
      </c>
      <c r="K79" s="32">
        <f t="shared" si="36"/>
        <v>7.0512820512820512E-2</v>
      </c>
      <c r="L79" s="18">
        <f>IF(ISNUMBER(J79), $B91 * K79, "")</f>
        <v>10576.923076923076</v>
      </c>
      <c r="M79" s="31">
        <v>175</v>
      </c>
      <c r="N79" s="32">
        <f t="shared" si="37"/>
        <v>0.12179487179487179</v>
      </c>
      <c r="O79" s="18">
        <f>IF(ISNUMBER(M79), $B91 * N79, "")</f>
        <v>18269.23076923077</v>
      </c>
      <c r="Q79" s="33"/>
      <c r="R79" s="33"/>
    </row>
    <row r="80" spans="1:19" ht="17.25" thickBot="1">
      <c r="A80" s="129" t="s">
        <v>120</v>
      </c>
      <c r="B80" s="130">
        <v>215</v>
      </c>
      <c r="C80" s="75">
        <v>3.8647343000000001E-2</v>
      </c>
      <c r="D80" s="24">
        <v>223</v>
      </c>
      <c r="E80" s="25">
        <f t="shared" si="34"/>
        <v>3.7209302325581395E-2</v>
      </c>
      <c r="F80" s="100">
        <f>IF(ISNUMBER(D80), $B91 * E80, "")</f>
        <v>5581.395348837209</v>
      </c>
      <c r="G80" s="98">
        <v>228</v>
      </c>
      <c r="H80" s="25">
        <f t="shared" si="35"/>
        <v>6.0465116279069767E-2</v>
      </c>
      <c r="I80" s="99">
        <f>IF(ISNUMBER(G80), $B91 * H80, "")</f>
        <v>9069.7674418604656</v>
      </c>
      <c r="J80" s="24">
        <v>231</v>
      </c>
      <c r="K80" s="25">
        <f t="shared" si="36"/>
        <v>7.441860465116279E-2</v>
      </c>
      <c r="L80" s="100">
        <f>IF(ISNUMBER(J80), $B91 * K80, "")</f>
        <v>11162.790697674418</v>
      </c>
      <c r="M80" s="98">
        <v>230</v>
      </c>
      <c r="N80" s="25">
        <f t="shared" si="37"/>
        <v>6.9767441860465115E-2</v>
      </c>
      <c r="O80" s="100">
        <f>IF(ISNUMBER(M80), $B91 * N80, "")</f>
        <v>10465.116279069767</v>
      </c>
      <c r="Q80" s="284"/>
      <c r="R80" s="285"/>
      <c r="S80" s="286"/>
    </row>
    <row r="81" spans="1:19">
      <c r="A81" s="122" t="s">
        <v>132</v>
      </c>
      <c r="B81" s="123">
        <v>244</v>
      </c>
      <c r="C81" s="72">
        <v>3.8297872300000001E-2</v>
      </c>
      <c r="D81" s="13">
        <v>253</v>
      </c>
      <c r="E81" s="14">
        <f>IF(ISNUMBER(D81), (D81 - $B81) / $B81, "")</f>
        <v>3.6885245901639344E-2</v>
      </c>
      <c r="F81" s="16">
        <f>IF(ISNUMBER(D81), $B91 * E81, "")</f>
        <v>5532.7868852459014</v>
      </c>
      <c r="G81" s="29">
        <v>253</v>
      </c>
      <c r="H81" s="14">
        <f>IF(ISNUMBER(G81), (G81 - $B81) / $B81, "")</f>
        <v>3.6885245901639344E-2</v>
      </c>
      <c r="I81" s="96">
        <f>IF(ISNUMBER(G81), $B91 * H81, "")</f>
        <v>5532.7868852459014</v>
      </c>
      <c r="J81" s="13">
        <v>254</v>
      </c>
      <c r="K81" s="14">
        <f>IF(ISNUMBER(J81), (J81 - $B81) / $B81, "")</f>
        <v>4.0983606557377046E-2</v>
      </c>
      <c r="L81" s="16">
        <f>IF(ISNUMBER(J81), $B91 * K81, "")</f>
        <v>6147.5409836065573</v>
      </c>
      <c r="M81" s="29">
        <v>265</v>
      </c>
      <c r="N81" s="14">
        <f>IF(ISNUMBER(M81), (M81 - $B81) / $B81, "")</f>
        <v>8.6065573770491802E-2</v>
      </c>
      <c r="O81" s="16">
        <f>IF(ISNUMBER(M81), $B91 * N81, "")</f>
        <v>12909.836065573771</v>
      </c>
      <c r="Q81" s="287"/>
      <c r="R81" s="288"/>
      <c r="S81" s="289"/>
    </row>
    <row r="82" spans="1:19" ht="17.25" thickBot="1">
      <c r="A82" s="124" t="s">
        <v>134</v>
      </c>
      <c r="B82" s="125">
        <v>151</v>
      </c>
      <c r="C82" s="73">
        <v>2.72108844E-2</v>
      </c>
      <c r="D82" s="15">
        <v>156</v>
      </c>
      <c r="E82" s="32">
        <f t="shared" ref="E82:E85" si="38">IF(ISNUMBER(D82), (D82 - $B82) / $B82, "")</f>
        <v>3.3112582781456956E-2</v>
      </c>
      <c r="F82" s="18">
        <f>IF(ISNUMBER(D82), $B91 * E82, "")</f>
        <v>4966.8874172185433</v>
      </c>
      <c r="G82" s="31">
        <v>157</v>
      </c>
      <c r="H82" s="32">
        <f t="shared" ref="H82:H85" si="39">IF(ISNUMBER(G82), (G82 - $B82) / $B82, "")</f>
        <v>3.9735099337748346E-2</v>
      </c>
      <c r="I82" s="97">
        <f>IF(ISNUMBER(G82), $B91 * H82, "")</f>
        <v>5960.2649006622523</v>
      </c>
      <c r="J82" s="15">
        <v>156</v>
      </c>
      <c r="K82" s="32">
        <f t="shared" ref="K82:K85" si="40">IF(ISNUMBER(J82), (J82 - $B82) / $B82, "")</f>
        <v>3.3112582781456956E-2</v>
      </c>
      <c r="L82" s="18">
        <f>IF(ISNUMBER(J82), $B91 * K82, "")</f>
        <v>4966.8874172185433</v>
      </c>
      <c r="M82" s="31">
        <v>157</v>
      </c>
      <c r="N82" s="32">
        <f t="shared" ref="N82:N85" si="41">IF(ISNUMBER(M82), (M82 - $B82) / $B82, "")</f>
        <v>3.9735099337748346E-2</v>
      </c>
      <c r="O82" s="18">
        <f>IF(ISNUMBER(M82), $B91 * N82, "")</f>
        <v>5960.2649006622523</v>
      </c>
      <c r="Q82" s="290"/>
      <c r="R82" s="291"/>
      <c r="S82" s="292"/>
    </row>
    <row r="83" spans="1:19" ht="17.25" thickBot="1">
      <c r="A83" s="124" t="s">
        <v>182</v>
      </c>
      <c r="B83" s="125">
        <v>468</v>
      </c>
      <c r="C83" s="73">
        <v>2.4070021899999999E-2</v>
      </c>
      <c r="D83" s="15">
        <v>506</v>
      </c>
      <c r="E83" s="32">
        <f t="shared" si="38"/>
        <v>8.11965811965812E-2</v>
      </c>
      <c r="F83" s="18">
        <f>IF(ISNUMBER(D83), $B91 * E83, "")</f>
        <v>12179.48717948718</v>
      </c>
      <c r="G83" s="31">
        <v>520</v>
      </c>
      <c r="H83" s="32">
        <f t="shared" si="39"/>
        <v>0.1111111111111111</v>
      </c>
      <c r="I83" s="97">
        <f>IF(ISNUMBER(G83), $B91 * H83, "")</f>
        <v>16666.666666666664</v>
      </c>
      <c r="J83" s="15">
        <v>516</v>
      </c>
      <c r="K83" s="32">
        <f t="shared" si="40"/>
        <v>0.10256410256410256</v>
      </c>
      <c r="L83" s="18">
        <f>IF(ISNUMBER(J83), $B91 * K83, "")</f>
        <v>15384.615384615385</v>
      </c>
      <c r="M83" s="31">
        <v>515</v>
      </c>
      <c r="N83" s="32">
        <f t="shared" si="41"/>
        <v>0.10042735042735043</v>
      </c>
      <c r="O83" s="18">
        <f>IF(ISNUMBER(M83), $B91 * N83, "")</f>
        <v>15064.102564102564</v>
      </c>
      <c r="Q83" s="275"/>
      <c r="R83" s="275"/>
      <c r="S83" s="275"/>
    </row>
    <row r="84" spans="1:19" ht="17.25" thickBot="1">
      <c r="A84" s="124" t="s">
        <v>148</v>
      </c>
      <c r="B84" s="125">
        <v>198</v>
      </c>
      <c r="C84" s="73">
        <v>2.0618556699999999E-2</v>
      </c>
      <c r="D84" s="15">
        <v>199</v>
      </c>
      <c r="E84" s="32">
        <f t="shared" si="38"/>
        <v>5.0505050505050509E-3</v>
      </c>
      <c r="F84" s="18">
        <f>IF(ISNUMBER(D84), $B91 * E84, "")</f>
        <v>757.57575757575762</v>
      </c>
      <c r="G84" s="31">
        <v>200</v>
      </c>
      <c r="H84" s="32">
        <f t="shared" si="39"/>
        <v>1.0101010101010102E-2</v>
      </c>
      <c r="I84" s="97">
        <f>IF(ISNUMBER(G84), $B91 * H84, "")</f>
        <v>1515.1515151515152</v>
      </c>
      <c r="J84" s="15">
        <v>201</v>
      </c>
      <c r="K84" s="32">
        <f t="shared" si="40"/>
        <v>1.5151515151515152E-2</v>
      </c>
      <c r="L84" s="18">
        <f>IF(ISNUMBER(J84), $B91 * K84, "")</f>
        <v>2272.727272727273</v>
      </c>
      <c r="M84" s="31">
        <v>199</v>
      </c>
      <c r="N84" s="32">
        <f t="shared" si="41"/>
        <v>5.0505050505050509E-3</v>
      </c>
      <c r="O84" s="18">
        <f>IF(ISNUMBER(M84), $B91 * N84, "")</f>
        <v>757.57575757575762</v>
      </c>
      <c r="Q84" s="270"/>
      <c r="R84" s="270"/>
      <c r="S84" s="270"/>
    </row>
    <row r="85" spans="1:19" ht="17.25" thickBot="1">
      <c r="A85" s="126" t="s">
        <v>266</v>
      </c>
      <c r="B85" s="127">
        <v>103</v>
      </c>
      <c r="C85" s="74">
        <v>1.9801980199999999E-2</v>
      </c>
      <c r="D85" s="20">
        <v>99.9</v>
      </c>
      <c r="E85" s="21">
        <f t="shared" si="38"/>
        <v>-3.0097087378640721E-2</v>
      </c>
      <c r="F85" s="22">
        <f>IF(ISNUMBER(D85), $B91 * E85, "")</f>
        <v>-4514.5631067961085</v>
      </c>
      <c r="G85" s="30">
        <v>98.5</v>
      </c>
      <c r="H85" s="21">
        <f t="shared" si="39"/>
        <v>-4.3689320388349516E-2</v>
      </c>
      <c r="I85" s="101">
        <f>IF(ISNUMBER(G85), $B91 * H85, "")</f>
        <v>-6553.3980582524273</v>
      </c>
      <c r="J85" s="20">
        <v>98.5</v>
      </c>
      <c r="K85" s="21">
        <f t="shared" si="40"/>
        <v>-4.3689320388349516E-2</v>
      </c>
      <c r="L85" s="22">
        <f>IF(ISNUMBER(J85), $B91 * K85, "")</f>
        <v>-6553.3980582524273</v>
      </c>
      <c r="M85" s="30">
        <v>97.2</v>
      </c>
      <c r="N85" s="21">
        <f t="shared" si="41"/>
        <v>-5.6310679611650455E-2</v>
      </c>
      <c r="O85" s="22">
        <f>IF(ISNUMBER(M85), $B91 * N85, "")</f>
        <v>-8446.6019417475691</v>
      </c>
      <c r="Q85" s="270"/>
      <c r="R85" s="270"/>
      <c r="S85" s="270"/>
    </row>
    <row r="86" spans="1:19" ht="17.25" thickBot="1">
      <c r="A86" s="124" t="s">
        <v>88</v>
      </c>
      <c r="B86" s="128">
        <v>625</v>
      </c>
      <c r="C86" s="76">
        <v>1.9575856400000001E-2</v>
      </c>
      <c r="D86" s="102">
        <v>625</v>
      </c>
      <c r="E86" s="103">
        <f>IF(ISNUMBER(D86), (D86 - $B86) / $B86, "")</f>
        <v>0</v>
      </c>
      <c r="F86" s="104">
        <f>IF(ISNUMBER(D86), $B91 * E86, "")</f>
        <v>0</v>
      </c>
      <c r="G86" s="105">
        <v>618</v>
      </c>
      <c r="H86" s="103">
        <f>IF(ISNUMBER(G86), (G86 - $B86) / $B86, "")</f>
        <v>-1.12E-2</v>
      </c>
      <c r="I86" s="106">
        <f>IF(ISNUMBER(G86), $B91 * H86, "")</f>
        <v>-1680</v>
      </c>
      <c r="J86" s="102">
        <v>620</v>
      </c>
      <c r="K86" s="103">
        <f>IF(ISNUMBER(J86), (J86 - $B86) / $B86, "")</f>
        <v>-8.0000000000000002E-3</v>
      </c>
      <c r="L86" s="104">
        <f>IF(ISNUMBER(J86), $B91 * K86, "")</f>
        <v>-1200</v>
      </c>
      <c r="M86" s="105">
        <v>638</v>
      </c>
      <c r="N86" s="103">
        <f>IF(ISNUMBER(M86), (M86 - $B86) / $B86, "")</f>
        <v>2.0799999999999999E-2</v>
      </c>
      <c r="O86" s="104">
        <f>IF(ISNUMBER(M86), $B91 * N86, "")</f>
        <v>3120</v>
      </c>
      <c r="Q86" s="275"/>
      <c r="R86" s="275"/>
      <c r="S86" s="275"/>
    </row>
    <row r="87" spans="1:19" ht="17.25" thickBot="1">
      <c r="A87" s="124" t="s">
        <v>128</v>
      </c>
      <c r="B87" s="125">
        <v>680</v>
      </c>
      <c r="C87" s="73">
        <v>1.94902549E-2</v>
      </c>
      <c r="D87" s="15">
        <v>693</v>
      </c>
      <c r="E87" s="32">
        <f t="shared" ref="E87:E90" si="42">IF(ISNUMBER(D87), (D87 - $B87) / $B87, "")</f>
        <v>1.9117647058823531E-2</v>
      </c>
      <c r="F87" s="18">
        <f>IF(ISNUMBER(D87), $B91 * E87, "")</f>
        <v>2867.6470588235297</v>
      </c>
      <c r="G87" s="31">
        <v>692</v>
      </c>
      <c r="H87" s="32">
        <f t="shared" ref="H87:H90" si="43">IF(ISNUMBER(G87), (G87 - $B87) / $B87, "")</f>
        <v>1.7647058823529412E-2</v>
      </c>
      <c r="I87" s="97">
        <f>IF(ISNUMBER(G87), $B91 * H87, "")</f>
        <v>2647.0588235294117</v>
      </c>
      <c r="J87" s="15">
        <v>701</v>
      </c>
      <c r="K87" s="32">
        <f t="shared" ref="K87:K90" si="44">IF(ISNUMBER(J87), (J87 - $B87) / $B87, "")</f>
        <v>3.0882352941176472E-2</v>
      </c>
      <c r="L87" s="18">
        <f>IF(ISNUMBER(J87), $B91 * K87, "")</f>
        <v>4632.3529411764712</v>
      </c>
      <c r="M87" s="31">
        <v>697</v>
      </c>
      <c r="N87" s="32">
        <f t="shared" ref="N87:N90" si="45">IF(ISNUMBER(M87), (M87 - $B87) / $B87, "")</f>
        <v>2.5000000000000001E-2</v>
      </c>
      <c r="O87" s="18">
        <f>IF(ISNUMBER(M87), $B91 * N87, "")</f>
        <v>3750</v>
      </c>
      <c r="Q87" s="275"/>
      <c r="R87" s="275"/>
      <c r="S87" s="275"/>
    </row>
    <row r="88" spans="1:19" ht="17.25" thickBot="1">
      <c r="A88" s="124" t="s">
        <v>116</v>
      </c>
      <c r="B88" s="125">
        <v>731</v>
      </c>
      <c r="C88" s="73">
        <v>1.38696255E-2</v>
      </c>
      <c r="D88" s="15">
        <v>712</v>
      </c>
      <c r="E88" s="32">
        <f t="shared" si="42"/>
        <v>-2.5991792065663474E-2</v>
      </c>
      <c r="F88" s="18">
        <f>IF(ISNUMBER(D88), $B91 * E88, "")</f>
        <v>-3898.7688098495209</v>
      </c>
      <c r="G88" s="31">
        <v>706</v>
      </c>
      <c r="H88" s="32">
        <f t="shared" si="43"/>
        <v>-3.4199726402188782E-2</v>
      </c>
      <c r="I88" s="97">
        <f>IF(ISNUMBER(G88), $B91 * H88, "")</f>
        <v>-5129.9589603283175</v>
      </c>
      <c r="J88" s="15">
        <v>700</v>
      </c>
      <c r="K88" s="32">
        <f t="shared" si="44"/>
        <v>-4.240766073871409E-2</v>
      </c>
      <c r="L88" s="18">
        <f>IF(ISNUMBER(J88), $B91 * K88, "")</f>
        <v>-6361.1491108071132</v>
      </c>
      <c r="M88" s="31">
        <v>695</v>
      </c>
      <c r="N88" s="32">
        <f t="shared" si="45"/>
        <v>-4.9247606019151846E-2</v>
      </c>
      <c r="O88" s="18">
        <f>IF(ISNUMBER(M88), $B91 * N88, "")</f>
        <v>-7387.1409028727767</v>
      </c>
      <c r="Q88" s="275"/>
      <c r="R88" s="275"/>
      <c r="S88" s="275"/>
    </row>
    <row r="89" spans="1:19">
      <c r="A89" s="124" t="s">
        <v>256</v>
      </c>
      <c r="B89" s="125">
        <v>265</v>
      </c>
      <c r="C89" s="73">
        <v>1.14503817E-2</v>
      </c>
      <c r="D89" s="15">
        <v>264</v>
      </c>
      <c r="E89" s="32">
        <f t="shared" si="42"/>
        <v>-3.7735849056603774E-3</v>
      </c>
      <c r="F89" s="18">
        <f>IF(ISNUMBER(D89), $B91 * E89, "")</f>
        <v>-566.03773584905662</v>
      </c>
      <c r="G89" s="31">
        <v>264</v>
      </c>
      <c r="H89" s="32">
        <f t="shared" si="43"/>
        <v>-3.7735849056603774E-3</v>
      </c>
      <c r="I89" s="97">
        <f>IF(ISNUMBER(G89), $B91 * H89, "")</f>
        <v>-566.03773584905662</v>
      </c>
      <c r="J89" s="15">
        <v>263</v>
      </c>
      <c r="K89" s="32">
        <f t="shared" si="44"/>
        <v>-7.5471698113207548E-3</v>
      </c>
      <c r="L89" s="18">
        <f>IF(ISNUMBER(J89), $B91 * K89, "")</f>
        <v>-1132.0754716981132</v>
      </c>
      <c r="M89" s="31">
        <v>261</v>
      </c>
      <c r="N89" s="32">
        <f t="shared" si="45"/>
        <v>-1.509433962264151E-2</v>
      </c>
      <c r="O89" s="18">
        <f>IF(ISNUMBER(M89), $B91 * N89, "")</f>
        <v>-2264.1509433962265</v>
      </c>
      <c r="Q89" s="297"/>
      <c r="R89" s="298"/>
      <c r="S89" s="299"/>
    </row>
    <row r="90" spans="1:19" ht="17.25" thickBot="1">
      <c r="A90" s="129" t="s">
        <v>216</v>
      </c>
      <c r="B90" s="130">
        <v>449</v>
      </c>
      <c r="C90" s="75">
        <v>1.12612613E-2</v>
      </c>
      <c r="D90" s="24">
        <v>466</v>
      </c>
      <c r="E90" s="25">
        <f t="shared" si="42"/>
        <v>3.7861915367483297E-2</v>
      </c>
      <c r="F90" s="100">
        <f>IF(ISNUMBER(D90), $B91 * E90, "")</f>
        <v>5679.2873051224942</v>
      </c>
      <c r="G90" s="98">
        <v>471</v>
      </c>
      <c r="H90" s="25">
        <f t="shared" si="43"/>
        <v>4.8997772828507792E-2</v>
      </c>
      <c r="I90" s="99">
        <f>IF(ISNUMBER(G90), $B91 * H90, "")</f>
        <v>7349.6659242761689</v>
      </c>
      <c r="J90" s="24">
        <v>466</v>
      </c>
      <c r="K90" s="25">
        <f t="shared" si="44"/>
        <v>3.7861915367483297E-2</v>
      </c>
      <c r="L90" s="100">
        <f>IF(ISNUMBER(J90), $B91 * K90, "")</f>
        <v>5679.2873051224942</v>
      </c>
      <c r="M90" s="98">
        <v>465</v>
      </c>
      <c r="N90" s="25">
        <f t="shared" si="45"/>
        <v>3.5634743875278395E-2</v>
      </c>
      <c r="O90" s="100">
        <f>IF(ISNUMBER(M90), $B91 * N90, "")</f>
        <v>5345.2115812917591</v>
      </c>
      <c r="Q90" s="300"/>
      <c r="R90" s="301"/>
      <c r="S90" s="302"/>
    </row>
    <row r="91" spans="1:19" ht="17.25" thickBot="1">
      <c r="A91" s="131" t="s">
        <v>301</v>
      </c>
      <c r="B91" s="308">
        <f>$B$37</f>
        <v>150000</v>
      </c>
      <c r="C91" s="309"/>
      <c r="D91" s="26" t="s">
        <v>302</v>
      </c>
      <c r="E91" s="27">
        <f>IF(COUNT(E71:E90), SUM(E71:E90) / COUNT(E71:E90), 0)</f>
        <v>3.9861666215012595E-2</v>
      </c>
      <c r="F91" s="28">
        <f>SUM(F71:F90)</f>
        <v>119584.99864503778</v>
      </c>
      <c r="G91" s="26" t="s">
        <v>302</v>
      </c>
      <c r="H91" s="27">
        <f>IF(COUNT(H71:H90), SUM(H71:H90) / COUNT(H71:H90), 0)</f>
        <v>4.075615779711661E-2</v>
      </c>
      <c r="I91" s="28">
        <f>SUM(I71:I90)</f>
        <v>122268.47339134986</v>
      </c>
      <c r="J91" s="26" t="s">
        <v>302</v>
      </c>
      <c r="K91" s="27">
        <f>IF(COUNT(K71:K90), SUM(K71:K90) / COUNT(K71:K90), 0)</f>
        <v>4.6040804645169853E-2</v>
      </c>
      <c r="L91" s="28">
        <f>SUM(L71:L90)</f>
        <v>138122.41393550954</v>
      </c>
      <c r="M91" s="26" t="s">
        <v>302</v>
      </c>
      <c r="N91" s="27">
        <f>IF(COUNT(N71:N90), SUM(N71:N90) / COUNT(N71:N90), 0)</f>
        <v>5.2342217113247692E-2</v>
      </c>
      <c r="O91" s="28">
        <f>SUM(O71:O90)</f>
        <v>157026.65133974305</v>
      </c>
      <c r="Q91" s="303"/>
      <c r="R91" s="304"/>
      <c r="S91" s="305"/>
    </row>
    <row r="93" spans="1:19" ht="17.25" thickBot="1"/>
    <row r="94" spans="1:19" ht="17.25" thickBot="1">
      <c r="A94" s="249" t="s">
        <v>46</v>
      </c>
      <c r="B94" s="250"/>
      <c r="C94" s="250"/>
      <c r="D94" s="250"/>
      <c r="E94" s="250"/>
      <c r="F94" s="250"/>
      <c r="G94" s="250"/>
      <c r="H94" s="250"/>
      <c r="I94" s="250"/>
      <c r="J94" s="250"/>
      <c r="K94" s="250"/>
      <c r="L94" s="250"/>
      <c r="M94" s="250"/>
      <c r="N94" s="250"/>
      <c r="O94" s="251"/>
      <c r="Q94" s="270"/>
      <c r="R94" s="270"/>
      <c r="S94" s="270"/>
    </row>
    <row r="95" spans="1:19" ht="17.25" thickBot="1">
      <c r="A95" s="159" t="s">
        <v>298</v>
      </c>
      <c r="B95" s="249" t="s">
        <v>49</v>
      </c>
      <c r="C95" s="251"/>
      <c r="D95" s="249" t="s">
        <v>58</v>
      </c>
      <c r="E95" s="250"/>
      <c r="F95" s="251"/>
      <c r="G95" s="276">
        <f>_xlfn.IFNA(VLOOKUP(B95, 현재가테이블!$B$2:$D$200, 2, FALSE), "-")</f>
        <v>60874000</v>
      </c>
      <c r="H95" s="277"/>
      <c r="I95" s="278"/>
      <c r="J95" s="249" t="s">
        <v>59</v>
      </c>
      <c r="K95" s="250"/>
      <c r="L95" s="251"/>
      <c r="M95" s="279">
        <f>_xlfn.IFNA(VLOOKUP(B95, 현재가테이블!$B$2:$D$200, 3, FALSE), "-")</f>
        <v>-1.4936000099999999E-2</v>
      </c>
      <c r="N95" s="280"/>
      <c r="O95" s="281"/>
      <c r="Q95" s="270"/>
      <c r="R95" s="270"/>
      <c r="S95" s="270"/>
    </row>
    <row r="96" spans="1:19" ht="17.25" thickBot="1">
      <c r="A96" s="310" t="s">
        <v>55</v>
      </c>
      <c r="B96" s="312" t="str">
        <f>TEXT($G$1, "[$-ko-KR]yyyy-mm-dd(ddd) ") &amp; "오전 00:00"</f>
        <v>2021-05-06(목) 오전 00:00</v>
      </c>
      <c r="C96" s="313"/>
      <c r="D96" s="272" t="str">
        <f>TEXT($G$1, "[$-ko-KR]yyyy-mm-dd(ddd) ") &amp; "오후 14:00"</f>
        <v>2021-05-06(목) 오후 14:00</v>
      </c>
      <c r="E96" s="273"/>
      <c r="F96" s="274"/>
      <c r="G96" s="272" t="str">
        <f>TEXT($G$1, "[$-ko-KR]yyyy-mm-dd(ddd) ") &amp; "오후 19:00"</f>
        <v>2021-05-06(목) 오후 19:00</v>
      </c>
      <c r="H96" s="273"/>
      <c r="I96" s="274"/>
      <c r="J96" s="272" t="str">
        <f>TEXT($G$1, "[$-ko-KR]yyyy-mm-dd(ddd) ") &amp; "오후 21:00"</f>
        <v>2021-05-06(목) 오후 21:00</v>
      </c>
      <c r="K96" s="273"/>
      <c r="L96" s="274"/>
      <c r="M96" s="272" t="str">
        <f>TEXT($G$1+1, "[$-ko-KR]yyyy-mm-dd(ddd) ") &amp; "오전 00:00"</f>
        <v>2021-05-07(금) 오전 00:00</v>
      </c>
      <c r="N96" s="273"/>
      <c r="O96" s="274"/>
      <c r="Q96" s="270"/>
      <c r="R96" s="270"/>
      <c r="S96" s="270"/>
    </row>
    <row r="97" spans="1:19" ht="17.25" thickBot="1">
      <c r="A97" s="311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0" t="s">
        <v>58</v>
      </c>
      <c r="H97" s="161" t="s">
        <v>299</v>
      </c>
      <c r="I97" s="162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75"/>
      <c r="R97" s="275"/>
      <c r="S97" s="275"/>
    </row>
    <row r="98" spans="1:19" ht="17.25" thickBot="1">
      <c r="A98" s="122" t="s">
        <v>78</v>
      </c>
      <c r="B98" s="123">
        <v>1497500</v>
      </c>
      <c r="C98" s="72">
        <v>0.24377076410000001</v>
      </c>
      <c r="D98" s="13">
        <v>1710000</v>
      </c>
      <c r="E98" s="14">
        <f>IF(ISNUMBER(D98), (D98 - $B98) / $B98, "")</f>
        <v>0.14190317195325541</v>
      </c>
      <c r="F98" s="16">
        <f>IF(ISNUMBER(D98), $B118 * E98, "")</f>
        <v>21285.475792988313</v>
      </c>
      <c r="G98" s="29">
        <v>1652500</v>
      </c>
      <c r="H98" s="14">
        <f>IF(ISNUMBER(G98), (G98 - $B98) / $B98, "")</f>
        <v>0.10350584307178631</v>
      </c>
      <c r="I98" s="96">
        <f>IF(ISNUMBER(G98), $B118 * H98, "")</f>
        <v>15525.876460767948</v>
      </c>
      <c r="J98" s="13">
        <v>1732500</v>
      </c>
      <c r="K98" s="14">
        <f>IF(ISNUMBER(J98), (J98 - $B98) / $B98, "")</f>
        <v>0.15692821368948248</v>
      </c>
      <c r="L98" s="16">
        <f>IF(ISNUMBER(J98), $B118 * K98, "")</f>
        <v>23539.232053422373</v>
      </c>
      <c r="M98" s="29">
        <v>1707500</v>
      </c>
      <c r="N98" s="14">
        <f>IF(ISNUMBER(M98), (M98 - $B98) / $B98, "")</f>
        <v>0.14023372287145242</v>
      </c>
      <c r="O98" s="16">
        <f>IF(ISNUMBER(M98), $B118 * N98, "")</f>
        <v>21035.058430717861</v>
      </c>
      <c r="Q98" s="270"/>
      <c r="R98" s="270"/>
      <c r="S98" s="270"/>
    </row>
    <row r="99" spans="1:19" ht="17.25" thickBot="1">
      <c r="A99" s="124" t="s">
        <v>296</v>
      </c>
      <c r="B99" s="125">
        <v>788</v>
      </c>
      <c r="C99" s="73">
        <v>0.16740740740000001</v>
      </c>
      <c r="D99" s="15">
        <v>745</v>
      </c>
      <c r="E99" s="32">
        <f t="shared" ref="E99:E102" si="46">IF(ISNUMBER(D99), (D99 - $B99) / $B99, "")</f>
        <v>-5.4568527918781723E-2</v>
      </c>
      <c r="F99" s="18">
        <f>IF(ISNUMBER(D99), $B118 * E99, "")</f>
        <v>-8185.2791878172584</v>
      </c>
      <c r="G99" s="31">
        <v>726</v>
      </c>
      <c r="H99" s="32">
        <f t="shared" ref="H99:H102" si="47">IF(ISNUMBER(G99), (G99 - $B99) / $B99, "")</f>
        <v>-7.8680203045685279E-2</v>
      </c>
      <c r="I99" s="97">
        <f>IF(ISNUMBER(G99), $B118 * H99, "")</f>
        <v>-11802.030456852792</v>
      </c>
      <c r="J99" s="15">
        <v>739</v>
      </c>
      <c r="K99" s="32">
        <f t="shared" ref="K99:K102" si="48">IF(ISNUMBER(J99), (J99 - $B99) / $B99, "")</f>
        <v>-6.2182741116751268E-2</v>
      </c>
      <c r="L99" s="18">
        <f>IF(ISNUMBER(J99), $B118 * K99, "")</f>
        <v>-9327.4111675126896</v>
      </c>
      <c r="M99" s="31">
        <v>735</v>
      </c>
      <c r="N99" s="32">
        <f t="shared" ref="N99:N102" si="49">IF(ISNUMBER(M99), (M99 - $B99) / $B99, "")</f>
        <v>-6.7258883248730958E-2</v>
      </c>
      <c r="O99" s="18">
        <f>IF(ISNUMBER(M99), $B118 * N99, "")</f>
        <v>-10088.832487309644</v>
      </c>
      <c r="Q99" s="270"/>
      <c r="R99" s="270"/>
      <c r="S99" s="270"/>
    </row>
    <row r="100" spans="1:19" ht="17.25" thickBot="1">
      <c r="A100" s="124" t="s">
        <v>86</v>
      </c>
      <c r="B100" s="125">
        <v>9180</v>
      </c>
      <c r="C100" s="73">
        <v>0.1489361702</v>
      </c>
      <c r="D100" s="15">
        <v>11020</v>
      </c>
      <c r="E100" s="32">
        <f t="shared" si="46"/>
        <v>0.20043572984749455</v>
      </c>
      <c r="F100" s="18">
        <f>IF(ISNUMBER(D100), $B118 * E100, "")</f>
        <v>30065.359477124184</v>
      </c>
      <c r="G100" s="31">
        <v>11080</v>
      </c>
      <c r="H100" s="32">
        <f t="shared" si="47"/>
        <v>0.20697167755991286</v>
      </c>
      <c r="I100" s="97">
        <f>IF(ISNUMBER(G100), $B118 * H100, "")</f>
        <v>31045.751633986929</v>
      </c>
      <c r="J100" s="15">
        <v>11490</v>
      </c>
      <c r="K100" s="32">
        <f t="shared" si="48"/>
        <v>0.25163398692810457</v>
      </c>
      <c r="L100" s="18">
        <f>IF(ISNUMBER(J100), $B118 * K100, "")</f>
        <v>37745.098039215685</v>
      </c>
      <c r="M100" s="31">
        <v>11500</v>
      </c>
      <c r="N100" s="32">
        <f t="shared" si="49"/>
        <v>0.25272331154684097</v>
      </c>
      <c r="O100" s="18">
        <f>IF(ISNUMBER(M100), $B118 * N100, "")</f>
        <v>37908.496732026142</v>
      </c>
      <c r="Q100" s="275"/>
      <c r="R100" s="275"/>
      <c r="S100" s="275"/>
    </row>
    <row r="101" spans="1:19" ht="17.25" thickBot="1">
      <c r="A101" s="124" t="s">
        <v>152</v>
      </c>
      <c r="B101" s="125">
        <v>51.5</v>
      </c>
      <c r="C101" s="73">
        <v>0.14190687360000001</v>
      </c>
      <c r="D101" s="15">
        <v>50.5</v>
      </c>
      <c r="E101" s="32">
        <f t="shared" si="46"/>
        <v>-1.9417475728155338E-2</v>
      </c>
      <c r="F101" s="18">
        <f>IF(ISNUMBER(D101), $B118 * E101, "")</f>
        <v>-2912.6213592233007</v>
      </c>
      <c r="G101" s="31">
        <v>50.9</v>
      </c>
      <c r="H101" s="32">
        <f t="shared" si="47"/>
        <v>-1.1650485436893232E-2</v>
      </c>
      <c r="I101" s="97">
        <f>IF(ISNUMBER(G101), $B118 * H101, "")</f>
        <v>-1747.5728155339848</v>
      </c>
      <c r="J101" s="15">
        <v>52.8</v>
      </c>
      <c r="K101" s="32">
        <f t="shared" si="48"/>
        <v>2.5242718446601888E-2</v>
      </c>
      <c r="L101" s="18">
        <f>IF(ISNUMBER(J101), $B118 * K101, "")</f>
        <v>3786.4077669902831</v>
      </c>
      <c r="M101" s="31">
        <v>52.3</v>
      </c>
      <c r="N101" s="32">
        <f t="shared" si="49"/>
        <v>1.5533980582524217E-2</v>
      </c>
      <c r="O101" s="18">
        <f>IF(ISNUMBER(M101), $B118 * N101, "")</f>
        <v>2330.0970873786328</v>
      </c>
      <c r="Q101" s="275"/>
      <c r="R101" s="275"/>
      <c r="S101" s="275"/>
    </row>
    <row r="102" spans="1:19" ht="17.25" thickBot="1">
      <c r="A102" s="126" t="s">
        <v>90</v>
      </c>
      <c r="B102" s="127">
        <v>465900</v>
      </c>
      <c r="C102" s="74">
        <v>0.13233685749999999</v>
      </c>
      <c r="D102" s="20">
        <v>498700</v>
      </c>
      <c r="E102" s="21">
        <f t="shared" si="46"/>
        <v>7.0401373685340204E-2</v>
      </c>
      <c r="F102" s="22">
        <f>IF(ISNUMBER(D102), $B118 * E102, "")</f>
        <v>10560.206052801032</v>
      </c>
      <c r="G102" s="30">
        <v>500900</v>
      </c>
      <c r="H102" s="21">
        <f t="shared" si="47"/>
        <v>7.5123417042283758E-2</v>
      </c>
      <c r="I102" s="101">
        <f>IF(ISNUMBER(G102), $B118 * H102, "")</f>
        <v>11268.512556342564</v>
      </c>
      <c r="J102" s="20">
        <v>509200</v>
      </c>
      <c r="K102" s="21">
        <f t="shared" si="48"/>
        <v>9.2938398798025332E-2</v>
      </c>
      <c r="L102" s="22">
        <f>IF(ISNUMBER(J102), $B118 * K102, "")</f>
        <v>13940.759819703801</v>
      </c>
      <c r="M102" s="30">
        <v>505900</v>
      </c>
      <c r="N102" s="21">
        <f t="shared" si="49"/>
        <v>8.5855333762610009E-2</v>
      </c>
      <c r="O102" s="22">
        <f>IF(ISNUMBER(M102), $B118 * N102, "")</f>
        <v>12878.300064391502</v>
      </c>
      <c r="Q102" s="275"/>
      <c r="R102" s="275"/>
      <c r="S102" s="275"/>
    </row>
    <row r="103" spans="1:19" ht="17.25" thickBot="1">
      <c r="A103" s="124" t="s">
        <v>108</v>
      </c>
      <c r="B103" s="128">
        <v>62240</v>
      </c>
      <c r="C103" s="76">
        <v>0.1265158371</v>
      </c>
      <c r="D103" s="102">
        <v>75040</v>
      </c>
      <c r="E103" s="103">
        <f>IF(ISNUMBER(D103), (D103 - $B103) / $B103, "")</f>
        <v>0.20565552699228792</v>
      </c>
      <c r="F103" s="104">
        <f>IF(ISNUMBER(D103), $B118 * E103, "")</f>
        <v>30848.329048843189</v>
      </c>
      <c r="G103" s="105">
        <v>74000</v>
      </c>
      <c r="H103" s="103">
        <f>IF(ISNUMBER(G103), (G103 - $B103) / $B103, "")</f>
        <v>0.18894601542416453</v>
      </c>
      <c r="I103" s="106">
        <f>IF(ISNUMBER(G103), $B118 * H103, "")</f>
        <v>28341.90231362468</v>
      </c>
      <c r="J103" s="102">
        <v>76620</v>
      </c>
      <c r="K103" s="103">
        <f>IF(ISNUMBER(J103), (J103 - $B103) / $B103, "")</f>
        <v>0.23104113110539845</v>
      </c>
      <c r="L103" s="104">
        <f>IF(ISNUMBER(J103), $B118 * K103, "")</f>
        <v>34656.169665809764</v>
      </c>
      <c r="M103" s="105">
        <v>73110</v>
      </c>
      <c r="N103" s="103">
        <f>IF(ISNUMBER(M103), (M103 - $B103) / $B103, "")</f>
        <v>0.17464652956298202</v>
      </c>
      <c r="O103" s="104">
        <f>IF(ISNUMBER(M103), $B118 * N103, "")</f>
        <v>26196.979434447301</v>
      </c>
      <c r="Q103" s="275"/>
      <c r="R103" s="275"/>
      <c r="S103" s="275"/>
    </row>
    <row r="104" spans="1:19" ht="17.25" thickBot="1">
      <c r="A104" s="124" t="s">
        <v>98</v>
      </c>
      <c r="B104" s="125">
        <v>7745</v>
      </c>
      <c r="C104" s="73">
        <v>0.12083936319999999</v>
      </c>
      <c r="D104" s="15">
        <v>8140</v>
      </c>
      <c r="E104" s="32">
        <f t="shared" ref="E104:E107" si="50">IF(ISNUMBER(D104), (D104 - $B104) / $B104, "")</f>
        <v>5.1000645577792124E-2</v>
      </c>
      <c r="F104" s="18">
        <f>IF(ISNUMBER(D104), $B118 * E104, "")</f>
        <v>7650.0968366688185</v>
      </c>
      <c r="G104" s="31">
        <v>8310</v>
      </c>
      <c r="H104" s="32">
        <f t="shared" ref="H104:H107" si="51">IF(ISNUMBER(G104), (G104 - $B104) / $B104, "")</f>
        <v>7.2950290510006455E-2</v>
      </c>
      <c r="I104" s="97">
        <f>IF(ISNUMBER(G104), $B118 * H104, "")</f>
        <v>10942.543576500968</v>
      </c>
      <c r="J104" s="15">
        <v>8485</v>
      </c>
      <c r="K104" s="32">
        <f t="shared" ref="K104:K107" si="52">IF(ISNUMBER(J104), (J104 - $B104) / $B104, "")</f>
        <v>9.5545513234344737E-2</v>
      </c>
      <c r="L104" s="18">
        <f>IF(ISNUMBER(J104), $B118 * K104, "")</f>
        <v>14331.826985151711</v>
      </c>
      <c r="M104" s="31">
        <v>8825</v>
      </c>
      <c r="N104" s="32">
        <f t="shared" ref="N104:N107" si="53">IF(ISNUMBER(M104), (M104 - $B104) / $B104, "")</f>
        <v>0.13944480309877341</v>
      </c>
      <c r="O104" s="18">
        <f>IF(ISNUMBER(M104), $B118 * N104, "")</f>
        <v>20916.720464816011</v>
      </c>
      <c r="Q104" s="275"/>
      <c r="R104" s="275"/>
      <c r="S104" s="275"/>
    </row>
    <row r="105" spans="1:19" ht="17.25" thickBot="1">
      <c r="A105" s="124" t="s">
        <v>138</v>
      </c>
      <c r="B105" s="125">
        <v>48830</v>
      </c>
      <c r="C105" s="73">
        <v>0.1199541284</v>
      </c>
      <c r="D105" s="15">
        <v>50150</v>
      </c>
      <c r="E105" s="32">
        <f t="shared" si="50"/>
        <v>2.7032561949621135E-2</v>
      </c>
      <c r="F105" s="18">
        <f>IF(ISNUMBER(D105), $B118 * E105, "")</f>
        <v>4054.8842924431701</v>
      </c>
      <c r="G105" s="31">
        <v>48220</v>
      </c>
      <c r="H105" s="32">
        <f t="shared" si="51"/>
        <v>-1.2492320294900676E-2</v>
      </c>
      <c r="I105" s="97">
        <f>IF(ISNUMBER(G105), $B118 * H105, "")</f>
        <v>-1873.8480442351015</v>
      </c>
      <c r="J105" s="15">
        <v>48640</v>
      </c>
      <c r="K105" s="32">
        <f t="shared" si="52"/>
        <v>-3.8910505836575876E-3</v>
      </c>
      <c r="L105" s="18">
        <f>IF(ISNUMBER(J105), $B118 * K105, "")</f>
        <v>-583.65758754863816</v>
      </c>
      <c r="M105" s="31">
        <v>49140</v>
      </c>
      <c r="N105" s="32">
        <f t="shared" si="53"/>
        <v>6.3485562154413271E-3</v>
      </c>
      <c r="O105" s="18">
        <f>IF(ISNUMBER(M105), $B118 * N105, "")</f>
        <v>952.28343231619908</v>
      </c>
      <c r="Q105" s="275"/>
      <c r="R105" s="275"/>
      <c r="S105" s="275"/>
    </row>
    <row r="106" spans="1:19" ht="17.25" thickBot="1">
      <c r="A106" s="124" t="s">
        <v>142</v>
      </c>
      <c r="B106" s="125">
        <v>460</v>
      </c>
      <c r="C106" s="73">
        <v>0.11380145279999999</v>
      </c>
      <c r="D106" s="15">
        <v>472</v>
      </c>
      <c r="E106" s="32">
        <f t="shared" si="50"/>
        <v>2.6086956521739129E-2</v>
      </c>
      <c r="F106" s="18">
        <f>IF(ISNUMBER(D106), $B118 * E106, "")</f>
        <v>3913.0434782608695</v>
      </c>
      <c r="G106" s="31">
        <v>480</v>
      </c>
      <c r="H106" s="32">
        <f t="shared" si="51"/>
        <v>4.3478260869565216E-2</v>
      </c>
      <c r="I106" s="97">
        <f>IF(ISNUMBER(G106), $B118 * H106, "")</f>
        <v>6521.7391304347821</v>
      </c>
      <c r="J106" s="15">
        <v>476</v>
      </c>
      <c r="K106" s="32">
        <f t="shared" si="52"/>
        <v>3.4782608695652174E-2</v>
      </c>
      <c r="L106" s="18">
        <f>IF(ISNUMBER(J106), $B118 * K106, "")</f>
        <v>5217.391304347826</v>
      </c>
      <c r="M106" s="31">
        <v>468</v>
      </c>
      <c r="N106" s="32">
        <f t="shared" si="53"/>
        <v>1.7391304347826087E-2</v>
      </c>
      <c r="O106" s="18">
        <f>IF(ISNUMBER(M106), $B118 * N106, "")</f>
        <v>2608.695652173913</v>
      </c>
      <c r="Q106" s="33"/>
      <c r="R106" s="33"/>
    </row>
    <row r="107" spans="1:19" ht="17.25" thickBot="1">
      <c r="A107" s="129" t="s">
        <v>51</v>
      </c>
      <c r="B107" s="130">
        <v>699</v>
      </c>
      <c r="C107" s="75">
        <v>0.1077654517</v>
      </c>
      <c r="D107" s="24">
        <v>757</v>
      </c>
      <c r="E107" s="25">
        <f t="shared" si="50"/>
        <v>8.2975679542203154E-2</v>
      </c>
      <c r="F107" s="100">
        <f>IF(ISNUMBER(D107), $B118 * E107, "")</f>
        <v>12446.351931330473</v>
      </c>
      <c r="G107" s="98">
        <v>739</v>
      </c>
      <c r="H107" s="25">
        <f t="shared" si="51"/>
        <v>5.7224606580829757E-2</v>
      </c>
      <c r="I107" s="99">
        <f>IF(ISNUMBER(G107), $B118 * H107, "")</f>
        <v>8583.6909871244643</v>
      </c>
      <c r="J107" s="24">
        <v>752</v>
      </c>
      <c r="K107" s="25">
        <f t="shared" si="52"/>
        <v>7.5822603719599424E-2</v>
      </c>
      <c r="L107" s="100">
        <f>IF(ISNUMBER(J107), $B118 * K107, "")</f>
        <v>11373.390557939914</v>
      </c>
      <c r="M107" s="98">
        <v>767</v>
      </c>
      <c r="N107" s="25">
        <f t="shared" si="53"/>
        <v>9.7281831187410586E-2</v>
      </c>
      <c r="O107" s="100">
        <f>IF(ISNUMBER(M107), $B118 * N107, "")</f>
        <v>14592.274678111587</v>
      </c>
      <c r="Q107" s="284"/>
      <c r="R107" s="285"/>
      <c r="S107" s="286"/>
    </row>
    <row r="108" spans="1:19">
      <c r="A108" s="122" t="s">
        <v>144</v>
      </c>
      <c r="B108" s="123">
        <v>11990</v>
      </c>
      <c r="C108" s="72">
        <v>9.7985348E-2</v>
      </c>
      <c r="D108" s="13">
        <v>12220</v>
      </c>
      <c r="E108" s="14">
        <f>IF(ISNUMBER(D108), (D108 - $B108) / $B108, "")</f>
        <v>1.9182652210175146E-2</v>
      </c>
      <c r="F108" s="16">
        <f>IF(ISNUMBER(D108), $B118 * E108, "")</f>
        <v>2877.3978315262721</v>
      </c>
      <c r="G108" s="29">
        <v>12040</v>
      </c>
      <c r="H108" s="14">
        <f>IF(ISNUMBER(G108), (G108 - $B108) / $B108, "")</f>
        <v>4.1701417848206837E-3</v>
      </c>
      <c r="I108" s="96">
        <f>IF(ISNUMBER(G108), $B118 * H108, "")</f>
        <v>625.5212677231026</v>
      </c>
      <c r="J108" s="13">
        <v>12200</v>
      </c>
      <c r="K108" s="14">
        <f>IF(ISNUMBER(J108), (J108 - $B108) / $B108, "")</f>
        <v>1.7514595496246871E-2</v>
      </c>
      <c r="L108" s="16">
        <f>IF(ISNUMBER(J108), $B118 * K108, "")</f>
        <v>2627.1893244370308</v>
      </c>
      <c r="M108" s="29">
        <v>12290</v>
      </c>
      <c r="N108" s="14">
        <f>IF(ISNUMBER(M108), (M108 - $B108) / $B108, "")</f>
        <v>2.5020850708924104E-2</v>
      </c>
      <c r="O108" s="16">
        <f>IF(ISNUMBER(M108), $B118 * N108, "")</f>
        <v>3753.1276063386158</v>
      </c>
      <c r="Q108" s="287"/>
      <c r="R108" s="288"/>
      <c r="S108" s="289"/>
    </row>
    <row r="109" spans="1:19" ht="17.25" thickBot="1">
      <c r="A109" s="124" t="s">
        <v>80</v>
      </c>
      <c r="B109" s="125">
        <v>1605</v>
      </c>
      <c r="C109" s="73">
        <v>9.5563139899999996E-2</v>
      </c>
      <c r="D109" s="15">
        <v>1710</v>
      </c>
      <c r="E109" s="32">
        <f t="shared" ref="E109:E112" si="54">IF(ISNUMBER(D109), (D109 - $B109) / $B109, "")</f>
        <v>6.5420560747663545E-2</v>
      </c>
      <c r="F109" s="18">
        <f>IF(ISNUMBER(D109), $B118 * E109, "")</f>
        <v>9813.0841121495323</v>
      </c>
      <c r="G109" s="31">
        <v>1655</v>
      </c>
      <c r="H109" s="32">
        <f t="shared" ref="H109:H112" si="55">IF(ISNUMBER(G109), (G109 - $B109) / $B109, "")</f>
        <v>3.1152647975077882E-2</v>
      </c>
      <c r="I109" s="97">
        <f>IF(ISNUMBER(G109), $B118 * H109, "")</f>
        <v>4672.8971962616824</v>
      </c>
      <c r="J109" s="15">
        <v>1680</v>
      </c>
      <c r="K109" s="32">
        <f t="shared" ref="K109:K112" si="56">IF(ISNUMBER(J109), (J109 - $B109) / $B109, "")</f>
        <v>4.6728971962616821E-2</v>
      </c>
      <c r="L109" s="18">
        <f>IF(ISNUMBER(J109), $B118 * K109, "")</f>
        <v>7009.3457943925232</v>
      </c>
      <c r="M109" s="31">
        <v>1720</v>
      </c>
      <c r="N109" s="32">
        <f t="shared" ref="N109:N112" si="57">IF(ISNUMBER(M109), (M109 - $B109) / $B109, "")</f>
        <v>7.1651090342679122E-2</v>
      </c>
      <c r="O109" s="18">
        <f>IF(ISNUMBER(M109), $B118 * N109, "")</f>
        <v>10747.663551401869</v>
      </c>
      <c r="Q109" s="290"/>
      <c r="R109" s="291"/>
      <c r="S109" s="292"/>
    </row>
    <row r="110" spans="1:19" ht="17.25" thickBot="1">
      <c r="A110" s="124" t="s">
        <v>178</v>
      </c>
      <c r="B110" s="125">
        <v>53330</v>
      </c>
      <c r="C110" s="73">
        <v>8.8589508100000006E-2</v>
      </c>
      <c r="D110" s="15">
        <v>61340</v>
      </c>
      <c r="E110" s="32">
        <f t="shared" si="54"/>
        <v>0.15019688730545658</v>
      </c>
      <c r="F110" s="18">
        <f>IF(ISNUMBER(D110), $B118 * E110, "")</f>
        <v>22529.533095818486</v>
      </c>
      <c r="G110" s="31">
        <v>58600</v>
      </c>
      <c r="H110" s="32">
        <f t="shared" si="55"/>
        <v>9.881867616726045E-2</v>
      </c>
      <c r="I110" s="97">
        <f>IF(ISNUMBER(G110), $B118 * H110, "")</f>
        <v>14822.801425089068</v>
      </c>
      <c r="J110" s="15">
        <v>60350</v>
      </c>
      <c r="K110" s="32">
        <f t="shared" si="56"/>
        <v>0.13163322707669228</v>
      </c>
      <c r="L110" s="18">
        <f>IF(ISNUMBER(J110), $B118 * K110, "")</f>
        <v>19744.984061503841</v>
      </c>
      <c r="M110" s="31">
        <v>60070</v>
      </c>
      <c r="N110" s="32">
        <f t="shared" si="57"/>
        <v>0.12638289893118321</v>
      </c>
      <c r="O110" s="18">
        <f>IF(ISNUMBER(M110), $B118 * N110, "")</f>
        <v>18957.43483967748</v>
      </c>
      <c r="Q110" s="275"/>
      <c r="R110" s="275"/>
      <c r="S110" s="275"/>
    </row>
    <row r="111" spans="1:19" ht="17.25" thickBot="1">
      <c r="A111" s="124" t="s">
        <v>92</v>
      </c>
      <c r="B111" s="125">
        <v>1895</v>
      </c>
      <c r="C111" s="73">
        <v>8.5959885400000005E-2</v>
      </c>
      <c r="D111" s="15">
        <v>2050</v>
      </c>
      <c r="E111" s="32">
        <f t="shared" si="54"/>
        <v>8.1794195250659632E-2</v>
      </c>
      <c r="F111" s="18">
        <f>IF(ISNUMBER(D111), $B118 * E111, "")</f>
        <v>12269.129287598946</v>
      </c>
      <c r="G111" s="31">
        <v>1995</v>
      </c>
      <c r="H111" s="32">
        <f t="shared" si="55"/>
        <v>5.2770448548812667E-2</v>
      </c>
      <c r="I111" s="97">
        <f>IF(ISNUMBER(G111), $B118 * H111, "")</f>
        <v>7915.5672823219002</v>
      </c>
      <c r="J111" s="15">
        <v>2000</v>
      </c>
      <c r="K111" s="32">
        <f t="shared" si="56"/>
        <v>5.5408970976253295E-2</v>
      </c>
      <c r="L111" s="18">
        <f>IF(ISNUMBER(J111), $B118 * K111, "")</f>
        <v>8311.3456464379942</v>
      </c>
      <c r="M111" s="31">
        <v>2035</v>
      </c>
      <c r="N111" s="32">
        <f t="shared" si="57"/>
        <v>7.3878627968337732E-2</v>
      </c>
      <c r="O111" s="18">
        <f>IF(ISNUMBER(M111), $B118 * N111, "")</f>
        <v>11081.794195250659</v>
      </c>
      <c r="Q111" s="270"/>
      <c r="R111" s="270"/>
      <c r="S111" s="270"/>
    </row>
    <row r="112" spans="1:19" ht="17.25" thickBot="1">
      <c r="A112" s="126" t="s">
        <v>104</v>
      </c>
      <c r="B112" s="127">
        <v>2410</v>
      </c>
      <c r="C112" s="74">
        <v>8.55855856E-2</v>
      </c>
      <c r="D112" s="20">
        <v>2640</v>
      </c>
      <c r="E112" s="21">
        <f t="shared" si="54"/>
        <v>9.5435684647302899E-2</v>
      </c>
      <c r="F112" s="22">
        <f>IF(ISNUMBER(D112), $B118 * E112, "")</f>
        <v>14315.352697095435</v>
      </c>
      <c r="G112" s="30">
        <v>2600</v>
      </c>
      <c r="H112" s="21">
        <f t="shared" si="55"/>
        <v>7.8838174273858919E-2</v>
      </c>
      <c r="I112" s="101">
        <f>IF(ISNUMBER(G112), $B118 * H112, "")</f>
        <v>11825.726141078838</v>
      </c>
      <c r="J112" s="20">
        <v>2665</v>
      </c>
      <c r="K112" s="21">
        <f t="shared" si="56"/>
        <v>0.10580912863070539</v>
      </c>
      <c r="L112" s="22">
        <f>IF(ISNUMBER(J112), $B118 * K112, "")</f>
        <v>15871.369294605809</v>
      </c>
      <c r="M112" s="30">
        <v>2765</v>
      </c>
      <c r="N112" s="21">
        <f t="shared" si="57"/>
        <v>0.14730290456431536</v>
      </c>
      <c r="O112" s="22">
        <f>IF(ISNUMBER(M112), $B118 * N112, "")</f>
        <v>22095.435684647302</v>
      </c>
      <c r="Q112" s="270"/>
      <c r="R112" s="270"/>
      <c r="S112" s="270"/>
    </row>
    <row r="113" spans="1:19" ht="17.25" thickBot="1">
      <c r="A113" s="124" t="s">
        <v>102</v>
      </c>
      <c r="B113" s="128">
        <v>93120</v>
      </c>
      <c r="C113" s="76">
        <v>8.2790697699999999E-2</v>
      </c>
      <c r="D113" s="102">
        <v>114900</v>
      </c>
      <c r="E113" s="103">
        <f>IF(ISNUMBER(D113), (D113 - $B113) / $B113, "")</f>
        <v>0.23389175257731959</v>
      </c>
      <c r="F113" s="104">
        <f>IF(ISNUMBER(D113), $B118 * E113, "")</f>
        <v>35083.762886597935</v>
      </c>
      <c r="G113" s="105">
        <v>120000</v>
      </c>
      <c r="H113" s="103">
        <f>IF(ISNUMBER(G113), (G113 - $B113) / $B113, "")</f>
        <v>0.28865979381443296</v>
      </c>
      <c r="I113" s="106">
        <f>IF(ISNUMBER(G113), $B118 * H113, "")</f>
        <v>43298.969072164946</v>
      </c>
      <c r="J113" s="102">
        <v>129000</v>
      </c>
      <c r="K113" s="103">
        <f>IF(ISNUMBER(J113), (J113 - $B113) / $B113, "")</f>
        <v>0.38530927835051548</v>
      </c>
      <c r="L113" s="104">
        <f>IF(ISNUMBER(J113), $B118 * K113, "")</f>
        <v>57796.391752577321</v>
      </c>
      <c r="M113" s="105">
        <v>137000</v>
      </c>
      <c r="N113" s="103">
        <f>IF(ISNUMBER(M113), (M113 - $B113) / $B113, "")</f>
        <v>0.47121993127147765</v>
      </c>
      <c r="O113" s="104">
        <f>IF(ISNUMBER(M113), $B118 * N113, "")</f>
        <v>70682.989690721646</v>
      </c>
      <c r="Q113" s="275"/>
      <c r="R113" s="275"/>
      <c r="S113" s="275"/>
    </row>
    <row r="114" spans="1:19" ht="17.25" thickBot="1">
      <c r="A114" s="124" t="s">
        <v>188</v>
      </c>
      <c r="B114" s="125">
        <v>18760</v>
      </c>
      <c r="C114" s="73">
        <v>7.8780908600000005E-2</v>
      </c>
      <c r="D114" s="15">
        <v>23000</v>
      </c>
      <c r="E114" s="32">
        <f t="shared" ref="E114:E117" si="58">IF(ISNUMBER(D114), (D114 - $B114) / $B114, "")</f>
        <v>0.22601279317697229</v>
      </c>
      <c r="F114" s="18">
        <f>IF(ISNUMBER(D114), $B118 * E114, "")</f>
        <v>33901.918976545843</v>
      </c>
      <c r="G114" s="31">
        <v>22560</v>
      </c>
      <c r="H114" s="32">
        <f t="shared" ref="H114:H117" si="59">IF(ISNUMBER(G114), (G114 - $B114) / $B114, "")</f>
        <v>0.20255863539445629</v>
      </c>
      <c r="I114" s="97">
        <f>IF(ISNUMBER(G114), $B118 * H114, "")</f>
        <v>30383.795309168443</v>
      </c>
      <c r="J114" s="15">
        <v>23100</v>
      </c>
      <c r="K114" s="32">
        <f t="shared" ref="K114:K117" si="60">IF(ISNUMBER(J114), (J114 - $B114) / $B114, "")</f>
        <v>0.23134328358208955</v>
      </c>
      <c r="L114" s="18">
        <f>IF(ISNUMBER(J114), $B118 * K114, "")</f>
        <v>34701.492537313432</v>
      </c>
      <c r="M114" s="31">
        <v>26350</v>
      </c>
      <c r="N114" s="32">
        <f t="shared" ref="N114:N117" si="61">IF(ISNUMBER(M114), (M114 - $B114) / $B114, "")</f>
        <v>0.40458422174840086</v>
      </c>
      <c r="O114" s="18">
        <f>IF(ISNUMBER(M114), $B118 * N114, "")</f>
        <v>60687.633262260133</v>
      </c>
      <c r="Q114" s="275"/>
      <c r="R114" s="275"/>
      <c r="S114" s="275"/>
    </row>
    <row r="115" spans="1:19" ht="17.25" thickBot="1">
      <c r="A115" s="124" t="s">
        <v>61</v>
      </c>
      <c r="B115" s="125">
        <v>1720</v>
      </c>
      <c r="C115" s="73">
        <v>7.8369906000000003E-2</v>
      </c>
      <c r="D115" s="15">
        <v>1725</v>
      </c>
      <c r="E115" s="32">
        <f t="shared" si="58"/>
        <v>2.9069767441860465E-3</v>
      </c>
      <c r="F115" s="18">
        <f>IF(ISNUMBER(D115), $B118 * E115, "")</f>
        <v>436.04651162790697</v>
      </c>
      <c r="G115" s="31">
        <v>1755</v>
      </c>
      <c r="H115" s="32">
        <f t="shared" si="59"/>
        <v>2.0348837209302327E-2</v>
      </c>
      <c r="I115" s="97">
        <f>IF(ISNUMBER(G115), $B118 * H115, "")</f>
        <v>3052.3255813953492</v>
      </c>
      <c r="J115" s="15">
        <v>1730</v>
      </c>
      <c r="K115" s="32">
        <f t="shared" si="60"/>
        <v>5.8139534883720929E-3</v>
      </c>
      <c r="L115" s="18">
        <f>IF(ISNUMBER(J115), $B118 * K115, "")</f>
        <v>872.09302325581393</v>
      </c>
      <c r="M115" s="31">
        <v>1725</v>
      </c>
      <c r="N115" s="32">
        <f t="shared" si="61"/>
        <v>2.9069767441860465E-3</v>
      </c>
      <c r="O115" s="18">
        <f>IF(ISNUMBER(M115), $B118 * N115, "")</f>
        <v>436.04651162790697</v>
      </c>
      <c r="Q115" s="275"/>
      <c r="R115" s="275"/>
      <c r="S115" s="275"/>
    </row>
    <row r="116" spans="1:19">
      <c r="A116" s="124" t="s">
        <v>130</v>
      </c>
      <c r="B116" s="125">
        <v>413800</v>
      </c>
      <c r="C116" s="73">
        <v>7.6482830399999993E-2</v>
      </c>
      <c r="D116" s="15">
        <v>412000</v>
      </c>
      <c r="E116" s="32">
        <f t="shared" si="58"/>
        <v>-4.3499275012083135E-3</v>
      </c>
      <c r="F116" s="18">
        <f>IF(ISNUMBER(D116), $B118 * E116, "")</f>
        <v>-652.489125181247</v>
      </c>
      <c r="G116" s="31">
        <v>414950</v>
      </c>
      <c r="H116" s="32">
        <f t="shared" si="59"/>
        <v>2.7791203479942002E-3</v>
      </c>
      <c r="I116" s="97">
        <f>IF(ISNUMBER(G116), $B118 * H116, "")</f>
        <v>416.86805219913003</v>
      </c>
      <c r="J116" s="15">
        <v>419600</v>
      </c>
      <c r="K116" s="32">
        <f t="shared" si="60"/>
        <v>1.401643305944901E-2</v>
      </c>
      <c r="L116" s="18">
        <f>IF(ISNUMBER(J116), $B118 * K116, "")</f>
        <v>2102.4649589173514</v>
      </c>
      <c r="M116" s="31">
        <v>413950</v>
      </c>
      <c r="N116" s="32">
        <f t="shared" si="61"/>
        <v>3.6249395843402607E-4</v>
      </c>
      <c r="O116" s="18">
        <f>IF(ISNUMBER(M116), $B118 * N116, "")</f>
        <v>54.374093765103908</v>
      </c>
      <c r="Q116" s="297"/>
      <c r="R116" s="298"/>
      <c r="S116" s="299"/>
    </row>
    <row r="117" spans="1:19" ht="17.25" thickBot="1">
      <c r="A117" s="129" t="s">
        <v>156</v>
      </c>
      <c r="B117" s="130">
        <v>161</v>
      </c>
      <c r="C117" s="75">
        <v>7.3333333299999998E-2</v>
      </c>
      <c r="D117" s="24">
        <v>176</v>
      </c>
      <c r="E117" s="25">
        <f t="shared" si="58"/>
        <v>9.3167701863354033E-2</v>
      </c>
      <c r="F117" s="100">
        <f>IF(ISNUMBER(D117), $B118 * E117, "")</f>
        <v>13975.155279503106</v>
      </c>
      <c r="G117" s="98">
        <v>172</v>
      </c>
      <c r="H117" s="25">
        <f t="shared" si="59"/>
        <v>6.8322981366459631E-2</v>
      </c>
      <c r="I117" s="99">
        <f>IF(ISNUMBER(G117), $B118 * H117, "")</f>
        <v>10248.447204968945</v>
      </c>
      <c r="J117" s="24">
        <v>174</v>
      </c>
      <c r="K117" s="25">
        <f t="shared" si="60"/>
        <v>8.0745341614906832E-2</v>
      </c>
      <c r="L117" s="100">
        <f>IF(ISNUMBER(J117), $B118 * K117, "")</f>
        <v>12111.801242236024</v>
      </c>
      <c r="M117" s="98">
        <v>183</v>
      </c>
      <c r="N117" s="25">
        <f t="shared" si="61"/>
        <v>0.13664596273291926</v>
      </c>
      <c r="O117" s="100">
        <f>IF(ISNUMBER(M117), $B118 * N117, "")</f>
        <v>20496.89440993789</v>
      </c>
      <c r="Q117" s="300"/>
      <c r="R117" s="301"/>
      <c r="S117" s="302"/>
    </row>
    <row r="118" spans="1:19" ht="17.25" thickBot="1">
      <c r="A118" s="131" t="s">
        <v>301</v>
      </c>
      <c r="B118" s="308">
        <f>$B$37</f>
        <v>150000</v>
      </c>
      <c r="C118" s="309"/>
      <c r="D118" s="26" t="s">
        <v>302</v>
      </c>
      <c r="E118" s="27">
        <f>IF(COUNT(E98:E117), SUM(E98:E117) / COUNT(E98:E117), 0)</f>
        <v>8.4758245972233914E-2</v>
      </c>
      <c r="F118" s="28">
        <f>SUM(F98:F117)</f>
        <v>254274.73791670171</v>
      </c>
      <c r="G118" s="26" t="s">
        <v>302</v>
      </c>
      <c r="H118" s="27">
        <f>IF(COUNT(H98:H117), SUM(H98:H117) / COUNT(H98:H117), 0)</f>
        <v>7.4689827958177288E-2</v>
      </c>
      <c r="I118" s="28">
        <f>SUM(I98:I117)</f>
        <v>224069.48387453187</v>
      </c>
      <c r="J118" s="26" t="s">
        <v>302</v>
      </c>
      <c r="K118" s="27">
        <f>IF(COUNT(K98:K117), SUM(K98:K117) / COUNT(K98:K117), 0)</f>
        <v>9.8609228357732406E-2</v>
      </c>
      <c r="L118" s="28">
        <f>SUM(L98:L117)</f>
        <v>295827.68507319718</v>
      </c>
      <c r="M118" s="26" t="s">
        <v>302</v>
      </c>
      <c r="N118" s="27">
        <f>IF(COUNT(N98:N117), SUM(N98:N117) / COUNT(N98:N117), 0)</f>
        <v>0.11610782244489937</v>
      </c>
      <c r="O118" s="28">
        <f>SUM(O98:O117)</f>
        <v>348323.46733469807</v>
      </c>
      <c r="Q118" s="303"/>
      <c r="R118" s="304"/>
      <c r="S118" s="305"/>
    </row>
    <row r="120" spans="1:19" ht="17.25" thickBot="1"/>
    <row r="121" spans="1:19" ht="17.25" thickBot="1">
      <c r="A121" s="249" t="s">
        <v>288</v>
      </c>
      <c r="B121" s="250"/>
      <c r="C121" s="250"/>
      <c r="D121" s="250"/>
      <c r="E121" s="250"/>
      <c r="F121" s="250"/>
      <c r="G121" s="250"/>
      <c r="H121" s="250"/>
      <c r="I121" s="250"/>
      <c r="J121" s="250"/>
      <c r="K121" s="250"/>
      <c r="L121" s="250"/>
      <c r="M121" s="250"/>
      <c r="N121" s="250"/>
      <c r="O121" s="251"/>
      <c r="Q121" s="270"/>
      <c r="R121" s="270"/>
      <c r="S121" s="270"/>
    </row>
    <row r="122" spans="1:19" ht="17.25" thickBot="1">
      <c r="A122" s="159" t="s">
        <v>298</v>
      </c>
      <c r="B122" s="249" t="s">
        <v>49</v>
      </c>
      <c r="C122" s="251"/>
      <c r="D122" s="249" t="s">
        <v>58</v>
      </c>
      <c r="E122" s="250"/>
      <c r="F122" s="251"/>
      <c r="G122" s="276">
        <f>_xlfn.IFNA(VLOOKUP(B122, 현재가테이블!$B$2:$D$200, 2, FALSE), "-")</f>
        <v>60874000</v>
      </c>
      <c r="H122" s="277"/>
      <c r="I122" s="278"/>
      <c r="J122" s="249" t="s">
        <v>59</v>
      </c>
      <c r="K122" s="250"/>
      <c r="L122" s="251"/>
      <c r="M122" s="279">
        <f>_xlfn.IFNA(VLOOKUP(B122, 현재가테이블!$B$2:$D$200, 3, FALSE), "-")</f>
        <v>-1.4936000099999999E-2</v>
      </c>
      <c r="N122" s="280"/>
      <c r="O122" s="281"/>
      <c r="Q122" s="270"/>
      <c r="R122" s="270"/>
      <c r="S122" s="270"/>
    </row>
    <row r="123" spans="1:19" ht="17.25" thickBot="1">
      <c r="A123" s="310" t="s">
        <v>55</v>
      </c>
      <c r="B123" s="312" t="str">
        <f>TEXT($G$1, "[$-ko-KR]yyyy-mm-dd(ddd) ") &amp; "오전 00:00"</f>
        <v>2021-05-06(목) 오전 00:00</v>
      </c>
      <c r="C123" s="313"/>
      <c r="D123" s="272" t="str">
        <f>TEXT($G$1, "[$-ko-KR]yyyy-mm-dd(ddd) ") &amp; "오후 14:00"</f>
        <v>2021-05-06(목) 오후 14:00</v>
      </c>
      <c r="E123" s="273"/>
      <c r="F123" s="274"/>
      <c r="G123" s="272" t="str">
        <f>TEXT($G$1, "[$-ko-KR]yyyy-mm-dd(ddd) ") &amp; "오후 19:00"</f>
        <v>2021-05-06(목) 오후 19:00</v>
      </c>
      <c r="H123" s="273"/>
      <c r="I123" s="274"/>
      <c r="J123" s="272" t="str">
        <f>TEXT($G$1, "[$-ko-KR]yyyy-mm-dd(ddd) ") &amp; "오후 21:00"</f>
        <v>2021-05-06(목) 오후 21:00</v>
      </c>
      <c r="K123" s="273"/>
      <c r="L123" s="274"/>
      <c r="M123" s="272" t="str">
        <f>TEXT($G$1+1, "[$-ko-KR]yyyy-mm-dd(ddd) ") &amp; "오전 00:00"</f>
        <v>2021-05-07(금) 오전 00:00</v>
      </c>
      <c r="N123" s="273"/>
      <c r="O123" s="274"/>
      <c r="Q123" s="270"/>
      <c r="R123" s="270"/>
      <c r="S123" s="270"/>
    </row>
    <row r="124" spans="1:19" ht="17.25" thickBot="1">
      <c r="A124" s="311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0" t="s">
        <v>58</v>
      </c>
      <c r="H124" s="161" t="s">
        <v>299</v>
      </c>
      <c r="I124" s="162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75"/>
      <c r="R124" s="275"/>
      <c r="S124" s="275"/>
    </row>
    <row r="125" spans="1:19" ht="17.25" thickBot="1">
      <c r="A125" s="122" t="s">
        <v>152</v>
      </c>
      <c r="B125" s="123">
        <v>51.5</v>
      </c>
      <c r="C125" s="72">
        <v>0.14190687360000001</v>
      </c>
      <c r="D125" s="13">
        <v>50.5</v>
      </c>
      <c r="E125" s="14">
        <f>IF(ISNUMBER(D125), (D125 - $B125) / $B125, "")</f>
        <v>-1.9417475728155338E-2</v>
      </c>
      <c r="F125" s="16">
        <f>IF(ISNUMBER(D125), $B145 * E125, "")</f>
        <v>-2912.6213592233007</v>
      </c>
      <c r="G125" s="29">
        <v>50.9</v>
      </c>
      <c r="H125" s="14">
        <f>IF(ISNUMBER(G125), (G125 - $B125) / $B125, "")</f>
        <v>-1.1650485436893232E-2</v>
      </c>
      <c r="I125" s="96">
        <f>IF(ISNUMBER(G125), $B145 * H125, "")</f>
        <v>-1747.5728155339848</v>
      </c>
      <c r="J125" s="13">
        <v>52.8</v>
      </c>
      <c r="K125" s="14">
        <f>IF(ISNUMBER(J125), (J125 - $B125) / $B125, "")</f>
        <v>2.5242718446601888E-2</v>
      </c>
      <c r="L125" s="16">
        <f>IF(ISNUMBER(J125), $B145 * K125, "")</f>
        <v>3786.4077669902831</v>
      </c>
      <c r="M125" s="29">
        <v>52.3</v>
      </c>
      <c r="N125" s="14">
        <f>IF(ISNUMBER(M125), (M125 - $B125) / $B125, "")</f>
        <v>1.5533980582524217E-2</v>
      </c>
      <c r="O125" s="16">
        <f>IF(ISNUMBER(M125), $B145 * N125, "")</f>
        <v>2330.0970873786328</v>
      </c>
      <c r="Q125" s="270"/>
      <c r="R125" s="270"/>
      <c r="S125" s="270"/>
    </row>
    <row r="126" spans="1:19" ht="17.25" thickBot="1">
      <c r="A126" s="124" t="s">
        <v>126</v>
      </c>
      <c r="B126" s="125">
        <v>65.5</v>
      </c>
      <c r="C126" s="73">
        <v>6.5040650399999997E-2</v>
      </c>
      <c r="D126" s="15">
        <v>63.5</v>
      </c>
      <c r="E126" s="32">
        <f t="shared" ref="E126:E129" si="62">IF(ISNUMBER(D126), (D126 - $B126) / $B126, "")</f>
        <v>-3.0534351145038167E-2</v>
      </c>
      <c r="F126" s="18">
        <f>IF(ISNUMBER(D126), $B145 * E126, "")</f>
        <v>-4580.1526717557254</v>
      </c>
      <c r="G126" s="31">
        <v>63.2</v>
      </c>
      <c r="H126" s="32">
        <f t="shared" ref="H126:H129" si="63">IF(ISNUMBER(G126), (G126 - $B126) / $B126, "")</f>
        <v>-3.5114503816793853E-2</v>
      </c>
      <c r="I126" s="97">
        <f>IF(ISNUMBER(G126), $B145 * H126, "")</f>
        <v>-5267.1755725190778</v>
      </c>
      <c r="J126" s="15">
        <v>63.3</v>
      </c>
      <c r="K126" s="32">
        <f t="shared" ref="K126:K129" si="64">IF(ISNUMBER(J126), (J126 - $B126) / $B126, "")</f>
        <v>-3.3587786259542028E-2</v>
      </c>
      <c r="L126" s="18">
        <f>IF(ISNUMBER(J126), $B145 * K126, "")</f>
        <v>-5038.167938931304</v>
      </c>
      <c r="M126" s="31">
        <v>63.3</v>
      </c>
      <c r="N126" s="32">
        <f t="shared" ref="N126:N129" si="65">IF(ISNUMBER(M126), (M126 - $B126) / $B126, "")</f>
        <v>-3.3587786259542028E-2</v>
      </c>
      <c r="O126" s="18">
        <f>IF(ISNUMBER(M126), $B145 * N126, "")</f>
        <v>-5038.167938931304</v>
      </c>
      <c r="Q126" s="270"/>
      <c r="R126" s="270"/>
      <c r="S126" s="270"/>
    </row>
    <row r="127" spans="1:19" ht="17.25" thickBot="1">
      <c r="A127" s="124" t="s">
        <v>100</v>
      </c>
      <c r="B127" s="125">
        <v>8.52</v>
      </c>
      <c r="C127" s="73">
        <v>6.3670411999999996E-2</v>
      </c>
      <c r="D127" s="15">
        <v>8.77</v>
      </c>
      <c r="E127" s="32">
        <f t="shared" si="62"/>
        <v>2.9342723004694836E-2</v>
      </c>
      <c r="F127" s="18">
        <f>IF(ISNUMBER(D127), $B145 * E127, "")</f>
        <v>4401.4084507042253</v>
      </c>
      <c r="G127" s="31">
        <v>8.59</v>
      </c>
      <c r="H127" s="32">
        <f t="shared" si="63"/>
        <v>8.2159624413145876E-3</v>
      </c>
      <c r="I127" s="97">
        <f>IF(ISNUMBER(G127), $B145 * H127, "")</f>
        <v>1232.3943661971882</v>
      </c>
      <c r="J127" s="15">
        <v>8.8000000000000007</v>
      </c>
      <c r="K127" s="32">
        <f t="shared" si="64"/>
        <v>3.286384976525835E-2</v>
      </c>
      <c r="L127" s="18">
        <f>IF(ISNUMBER(J127), $B145 * K127, "")</f>
        <v>4929.5774647887529</v>
      </c>
      <c r="M127" s="31">
        <v>9.58</v>
      </c>
      <c r="N127" s="32">
        <f t="shared" si="65"/>
        <v>0.12441314553990616</v>
      </c>
      <c r="O127" s="18">
        <f>IF(ISNUMBER(M127), $B145 * N127, "")</f>
        <v>18661.971830985924</v>
      </c>
      <c r="Q127" s="275"/>
      <c r="R127" s="275"/>
      <c r="S127" s="275"/>
    </row>
    <row r="128" spans="1:19" ht="17.25" thickBot="1">
      <c r="A128" s="124" t="s">
        <v>72</v>
      </c>
      <c r="B128" s="125">
        <v>36.1</v>
      </c>
      <c r="C128" s="73">
        <v>4.0345821300000001E-2</v>
      </c>
      <c r="D128" s="15">
        <v>40.1</v>
      </c>
      <c r="E128" s="32">
        <f t="shared" si="62"/>
        <v>0.11080332409972299</v>
      </c>
      <c r="F128" s="18">
        <f>IF(ISNUMBER(D128), $B145 * E128, "")</f>
        <v>16620.498614958447</v>
      </c>
      <c r="G128" s="31">
        <v>40.6</v>
      </c>
      <c r="H128" s="32">
        <f t="shared" si="63"/>
        <v>0.12465373961218836</v>
      </c>
      <c r="I128" s="97">
        <f>IF(ISNUMBER(G128), $B145 * H128, "")</f>
        <v>18698.060941828255</v>
      </c>
      <c r="J128" s="15">
        <v>39.9</v>
      </c>
      <c r="K128" s="32">
        <f t="shared" si="64"/>
        <v>0.10526315789473675</v>
      </c>
      <c r="L128" s="18">
        <f>IF(ISNUMBER(J128), $B145 * K128, "")</f>
        <v>15789.473684210512</v>
      </c>
      <c r="M128" s="31">
        <v>39</v>
      </c>
      <c r="N128" s="32">
        <f t="shared" si="65"/>
        <v>8.0332409972299124E-2</v>
      </c>
      <c r="O128" s="18">
        <f>IF(ISNUMBER(M128), $B145 * N128, "")</f>
        <v>12049.861495844869</v>
      </c>
      <c r="Q128" s="275"/>
      <c r="R128" s="275"/>
      <c r="S128" s="275"/>
    </row>
    <row r="129" spans="1:19" ht="17.25" thickBot="1">
      <c r="A129" s="126" t="s">
        <v>65</v>
      </c>
      <c r="B129" s="127">
        <v>73.8</v>
      </c>
      <c r="C129" s="74">
        <v>3.5063113600000001E-2</v>
      </c>
      <c r="D129" s="20">
        <v>76.099999999999994</v>
      </c>
      <c r="E129" s="21">
        <f t="shared" si="62"/>
        <v>3.1165311653116493E-2</v>
      </c>
      <c r="F129" s="22">
        <f>IF(ISNUMBER(D129), $B145 * E129, "")</f>
        <v>4674.7967479674735</v>
      </c>
      <c r="G129" s="30">
        <v>76.400000000000006</v>
      </c>
      <c r="H129" s="21">
        <f t="shared" si="63"/>
        <v>3.5230352303523151E-2</v>
      </c>
      <c r="I129" s="101">
        <f>IF(ISNUMBER(G129), $B145 * H129, "")</f>
        <v>5284.552845528473</v>
      </c>
      <c r="J129" s="20">
        <v>76.099999999999994</v>
      </c>
      <c r="K129" s="21">
        <f t="shared" si="64"/>
        <v>3.1165311653116493E-2</v>
      </c>
      <c r="L129" s="22">
        <f>IF(ISNUMBER(J129), $B145 * K129, "")</f>
        <v>4674.7967479674735</v>
      </c>
      <c r="M129" s="30">
        <v>76.400000000000006</v>
      </c>
      <c r="N129" s="21">
        <f t="shared" si="65"/>
        <v>3.5230352303523151E-2</v>
      </c>
      <c r="O129" s="22">
        <f>IF(ISNUMBER(M129), $B145 * N129, "")</f>
        <v>5284.552845528473</v>
      </c>
      <c r="Q129" s="275"/>
      <c r="R129" s="275"/>
      <c r="S129" s="275"/>
    </row>
    <row r="130" spans="1:19" ht="17.25" thickBot="1">
      <c r="A130" s="124" t="s">
        <v>254</v>
      </c>
      <c r="B130" s="128">
        <v>93.6</v>
      </c>
      <c r="C130" s="76">
        <v>3.08370044E-2</v>
      </c>
      <c r="D130" s="102">
        <v>87.5</v>
      </c>
      <c r="E130" s="103">
        <f>IF(ISNUMBER(D130), (D130 - $B130) / $B130, "")</f>
        <v>-6.517094017094012E-2</v>
      </c>
      <c r="F130" s="104">
        <f>IF(ISNUMBER(D130), $B145 * E130, "")</f>
        <v>-9775.6410256410181</v>
      </c>
      <c r="G130" s="105">
        <v>87.7</v>
      </c>
      <c r="H130" s="103">
        <f>IF(ISNUMBER(G130), (G130 - $B130) / $B130, "")</f>
        <v>-6.3034188034187949E-2</v>
      </c>
      <c r="I130" s="106">
        <f>IF(ISNUMBER(G130), $B145 * H130, "")</f>
        <v>-9455.1282051281923</v>
      </c>
      <c r="J130" s="102">
        <v>86.9</v>
      </c>
      <c r="K130" s="103">
        <f>IF(ISNUMBER(J130), (J130 - $B130) / $B130, "")</f>
        <v>-7.1581196581196466E-2</v>
      </c>
      <c r="L130" s="104">
        <f>IF(ISNUMBER(J130), $B145 * K130, "")</f>
        <v>-10737.17948717947</v>
      </c>
      <c r="M130" s="105">
        <v>86</v>
      </c>
      <c r="N130" s="103">
        <f>IF(ISNUMBER(M130), (M130 - $B130) / $B130, "")</f>
        <v>-8.1196581196581144E-2</v>
      </c>
      <c r="O130" s="104">
        <f>IF(ISNUMBER(M130), $B145 * N130, "")</f>
        <v>-12179.487179487172</v>
      </c>
      <c r="Q130" s="275"/>
      <c r="R130" s="275"/>
      <c r="S130" s="275"/>
    </row>
    <row r="131" spans="1:19" ht="17.25" thickBot="1">
      <c r="A131" s="124" t="s">
        <v>196</v>
      </c>
      <c r="B131" s="125">
        <v>20.9</v>
      </c>
      <c r="C131" s="73">
        <v>9.6618356999999995E-3</v>
      </c>
      <c r="D131" s="15">
        <v>20.7</v>
      </c>
      <c r="E131" s="32">
        <f t="shared" ref="E131:E134" si="66">IF(ISNUMBER(D131), (D131 - $B131) / $B131, "")</f>
        <v>-9.5693779904305887E-3</v>
      </c>
      <c r="F131" s="18">
        <f>IF(ISNUMBER(D131), $B145 * E131, "")</f>
        <v>-1435.4066985645884</v>
      </c>
      <c r="G131" s="31">
        <v>20.7</v>
      </c>
      <c r="H131" s="32">
        <f t="shared" ref="H131:H134" si="67">IF(ISNUMBER(G131), (G131 - $B131) / $B131, "")</f>
        <v>-9.5693779904305887E-3</v>
      </c>
      <c r="I131" s="97">
        <f>IF(ISNUMBER(G131), $B145 * H131, "")</f>
        <v>-1435.4066985645884</v>
      </c>
      <c r="J131" s="15">
        <v>20.6</v>
      </c>
      <c r="K131" s="32">
        <f t="shared" ref="K131:K134" si="68">IF(ISNUMBER(J131), (J131 - $B131) / $B131, "")</f>
        <v>-1.4354066985645798E-2</v>
      </c>
      <c r="L131" s="18">
        <f>IF(ISNUMBER(J131), $B145 * K131, "")</f>
        <v>-2153.1100478468697</v>
      </c>
      <c r="M131" s="31">
        <v>20.5</v>
      </c>
      <c r="N131" s="32">
        <f t="shared" ref="N131:N134" si="69">IF(ISNUMBER(M131), (M131 - $B131) / $B131, "")</f>
        <v>-1.9138755980861177E-2</v>
      </c>
      <c r="O131" s="18">
        <f>IF(ISNUMBER(M131), $B145 * N131, "")</f>
        <v>-2870.8133971291768</v>
      </c>
      <c r="Q131" s="275"/>
      <c r="R131" s="275"/>
      <c r="S131" s="275"/>
    </row>
    <row r="132" spans="1:19" ht="17.25" thickBot="1">
      <c r="A132" s="124" t="s">
        <v>220</v>
      </c>
      <c r="B132" s="125">
        <v>22.3</v>
      </c>
      <c r="C132" s="73">
        <v>4.5045045000000001E-3</v>
      </c>
      <c r="D132" s="15">
        <v>21.7</v>
      </c>
      <c r="E132" s="32">
        <f t="shared" si="66"/>
        <v>-2.690582959641262E-2</v>
      </c>
      <c r="F132" s="18">
        <f>IF(ISNUMBER(D132), $B145 * E132, "")</f>
        <v>-4035.874439461893</v>
      </c>
      <c r="G132" s="31">
        <v>21.5</v>
      </c>
      <c r="H132" s="32">
        <f t="shared" si="67"/>
        <v>-3.5874439461883442E-2</v>
      </c>
      <c r="I132" s="97">
        <f>IF(ISNUMBER(G132), $B145 * H132, "")</f>
        <v>-5381.1659192825164</v>
      </c>
      <c r="J132" s="15">
        <v>21.4</v>
      </c>
      <c r="K132" s="32">
        <f t="shared" si="68"/>
        <v>-4.035874439461893E-2</v>
      </c>
      <c r="L132" s="18">
        <f>IF(ISNUMBER(J132), $B145 * K132, "")</f>
        <v>-6053.8116591928392</v>
      </c>
      <c r="M132" s="31">
        <v>21.2</v>
      </c>
      <c r="N132" s="32">
        <f t="shared" si="69"/>
        <v>-4.9327354260089745E-2</v>
      </c>
      <c r="O132" s="18">
        <f>IF(ISNUMBER(M132), $B145 * N132, "")</f>
        <v>-7399.1031390134622</v>
      </c>
      <c r="Q132" s="275"/>
      <c r="R132" s="275"/>
      <c r="S132" s="275"/>
    </row>
    <row r="133" spans="1:19" ht="17.25" thickBot="1">
      <c r="A133" s="124" t="s">
        <v>268</v>
      </c>
      <c r="B133" s="125">
        <v>99.8</v>
      </c>
      <c r="C133" s="73">
        <v>-2E-3</v>
      </c>
      <c r="D133" s="15">
        <v>98</v>
      </c>
      <c r="E133" s="32">
        <f t="shared" si="66"/>
        <v>-1.803607214428855E-2</v>
      </c>
      <c r="F133" s="18">
        <f>IF(ISNUMBER(D133), $B145 * E133, "")</f>
        <v>-2705.4108216432824</v>
      </c>
      <c r="G133" s="31">
        <v>97.3</v>
      </c>
      <c r="H133" s="32">
        <f t="shared" si="67"/>
        <v>-2.5050100200400802E-2</v>
      </c>
      <c r="I133" s="97">
        <f>IF(ISNUMBER(G133), $B145 * H133, "")</f>
        <v>-3757.5150300601204</v>
      </c>
      <c r="J133" s="15">
        <v>97.1</v>
      </c>
      <c r="K133" s="32">
        <f t="shared" si="68"/>
        <v>-2.7054108216432896E-2</v>
      </c>
      <c r="L133" s="18">
        <f>IF(ISNUMBER(J133), $B145 * K133, "")</f>
        <v>-4058.1162324649345</v>
      </c>
      <c r="M133" s="31">
        <v>96.1</v>
      </c>
      <c r="N133" s="32">
        <f t="shared" si="69"/>
        <v>-3.7074148296593216E-2</v>
      </c>
      <c r="O133" s="18">
        <f>IF(ISNUMBER(M133), $B145 * N133, "")</f>
        <v>-5561.1222444889827</v>
      </c>
      <c r="Q133" s="33"/>
      <c r="R133" s="33"/>
    </row>
    <row r="134" spans="1:19" ht="17.25" thickBot="1">
      <c r="A134" s="129" t="s">
        <v>198</v>
      </c>
      <c r="B134" s="130">
        <v>29</v>
      </c>
      <c r="C134" s="75">
        <v>-3.4364260999999998E-3</v>
      </c>
      <c r="D134" s="24">
        <v>28.7</v>
      </c>
      <c r="E134" s="25">
        <f t="shared" si="66"/>
        <v>-1.0344827586206921E-2</v>
      </c>
      <c r="F134" s="100">
        <f>IF(ISNUMBER(D134), $B145 * E134, "")</f>
        <v>-1551.7241379310381</v>
      </c>
      <c r="G134" s="98">
        <v>28.3</v>
      </c>
      <c r="H134" s="25">
        <f t="shared" si="67"/>
        <v>-2.4137931034482734E-2</v>
      </c>
      <c r="I134" s="99">
        <f>IF(ISNUMBER(G134), $B145 * H134, "")</f>
        <v>-3620.6896551724103</v>
      </c>
      <c r="J134" s="24">
        <v>28.3</v>
      </c>
      <c r="K134" s="25">
        <f t="shared" si="68"/>
        <v>-2.4137931034482734E-2</v>
      </c>
      <c r="L134" s="100">
        <f>IF(ISNUMBER(J134), $B145 * K134, "")</f>
        <v>-3620.6896551724103</v>
      </c>
      <c r="M134" s="98">
        <v>28.3</v>
      </c>
      <c r="N134" s="25">
        <f t="shared" si="69"/>
        <v>-2.4137931034482734E-2</v>
      </c>
      <c r="O134" s="100">
        <f>IF(ISNUMBER(M134), $B145 * N134, "")</f>
        <v>-3620.6896551724103</v>
      </c>
      <c r="Q134" s="284"/>
      <c r="R134" s="285"/>
      <c r="S134" s="286"/>
    </row>
    <row r="135" spans="1:19">
      <c r="A135" s="122" t="s">
        <v>186</v>
      </c>
      <c r="B135" s="123">
        <v>25.9</v>
      </c>
      <c r="C135" s="72">
        <v>-3.8461538E-3</v>
      </c>
      <c r="D135" s="13">
        <v>25.6</v>
      </c>
      <c r="E135" s="14">
        <f>IF(ISNUMBER(D135), (D135 - $B135) / $B135, "")</f>
        <v>-1.1583011583011473E-2</v>
      </c>
      <c r="F135" s="16">
        <f>IF(ISNUMBER(D135), $B145 * E135, "")</f>
        <v>-1737.4517374517209</v>
      </c>
      <c r="G135" s="29">
        <v>25.6</v>
      </c>
      <c r="H135" s="14">
        <f>IF(ISNUMBER(G135), (G135 - $B135) / $B135, "")</f>
        <v>-1.1583011583011473E-2</v>
      </c>
      <c r="I135" s="96">
        <f>IF(ISNUMBER(G135), $B145 * H135, "")</f>
        <v>-1737.4517374517209</v>
      </c>
      <c r="J135" s="13">
        <v>25.4</v>
      </c>
      <c r="K135" s="14">
        <f>IF(ISNUMBER(J135), (J135 - $B135) / $B135, "")</f>
        <v>-1.9305019305019305E-2</v>
      </c>
      <c r="L135" s="16">
        <f>IF(ISNUMBER(J135), $B145 * K135, "")</f>
        <v>-2895.7528957528957</v>
      </c>
      <c r="M135" s="29">
        <v>25.3</v>
      </c>
      <c r="N135" s="14">
        <f>IF(ISNUMBER(M135), (M135 - $B135) / $B135, "")</f>
        <v>-2.3166023166023085E-2</v>
      </c>
      <c r="O135" s="16">
        <f>IF(ISNUMBER(M135), $B145 * N135, "")</f>
        <v>-3474.9034749034627</v>
      </c>
      <c r="Q135" s="287"/>
      <c r="R135" s="288"/>
      <c r="S135" s="289"/>
    </row>
    <row r="136" spans="1:19" ht="17.25" thickBot="1">
      <c r="A136" s="124" t="s">
        <v>228</v>
      </c>
      <c r="B136" s="125">
        <v>18.7</v>
      </c>
      <c r="C136" s="73">
        <v>-5.3191489E-3</v>
      </c>
      <c r="D136" s="15">
        <v>18.899999999999999</v>
      </c>
      <c r="E136" s="32">
        <f t="shared" ref="E136:E139" si="70">IF(ISNUMBER(D136), (D136 - $B136) / $B136, "")</f>
        <v>1.0695187165775364E-2</v>
      </c>
      <c r="F136" s="18">
        <f>IF(ISNUMBER(D136), $B145 * E136, "")</f>
        <v>1604.2780748663047</v>
      </c>
      <c r="G136" s="31">
        <v>18.600000000000001</v>
      </c>
      <c r="H136" s="32">
        <f t="shared" ref="H136:H139" si="71">IF(ISNUMBER(G136), (G136 - $B136) / $B136, "")</f>
        <v>-5.3475935828875866E-3</v>
      </c>
      <c r="I136" s="97">
        <f>IF(ISNUMBER(G136), $B145 * H136, "")</f>
        <v>-802.13903743313801</v>
      </c>
      <c r="J136" s="15">
        <v>18.600000000000001</v>
      </c>
      <c r="K136" s="32">
        <f t="shared" ref="K136:K139" si="72">IF(ISNUMBER(J136), (J136 - $B136) / $B136, "")</f>
        <v>-5.3475935828875866E-3</v>
      </c>
      <c r="L136" s="18">
        <f>IF(ISNUMBER(J136), $B145 * K136, "")</f>
        <v>-802.13903743313801</v>
      </c>
      <c r="M136" s="31">
        <v>18.399999999999999</v>
      </c>
      <c r="N136" s="32">
        <f t="shared" ref="N136:N139" si="73">IF(ISNUMBER(M136), (M136 - $B136) / $B136, "")</f>
        <v>-1.6042780748663141E-2</v>
      </c>
      <c r="O136" s="18">
        <f>IF(ISNUMBER(M136), $B145 * N136, "")</f>
        <v>-2406.4171122994712</v>
      </c>
      <c r="Q136" s="290"/>
      <c r="R136" s="291"/>
      <c r="S136" s="292"/>
    </row>
    <row r="137" spans="1:19" ht="17.25" thickBot="1">
      <c r="A137" s="124" t="s">
        <v>222</v>
      </c>
      <c r="B137" s="125">
        <v>18.7</v>
      </c>
      <c r="C137" s="73">
        <v>-5.3191489E-3</v>
      </c>
      <c r="D137" s="15">
        <v>18.8</v>
      </c>
      <c r="E137" s="32">
        <f t="shared" si="70"/>
        <v>5.3475935828877766E-3</v>
      </c>
      <c r="F137" s="18">
        <f>IF(ISNUMBER(D137), $B145 * E137, "")</f>
        <v>802.13903743316644</v>
      </c>
      <c r="G137" s="31">
        <v>18.899999999999999</v>
      </c>
      <c r="H137" s="32">
        <f t="shared" si="71"/>
        <v>1.0695187165775364E-2</v>
      </c>
      <c r="I137" s="97">
        <f>IF(ISNUMBER(G137), $B145 * H137, "")</f>
        <v>1604.2780748663047</v>
      </c>
      <c r="J137" s="15">
        <v>18.7</v>
      </c>
      <c r="K137" s="32">
        <f t="shared" si="72"/>
        <v>0</v>
      </c>
      <c r="L137" s="18">
        <f>IF(ISNUMBER(J137), $B145 * K137, "")</f>
        <v>0</v>
      </c>
      <c r="M137" s="31">
        <v>18.8</v>
      </c>
      <c r="N137" s="32">
        <f t="shared" si="73"/>
        <v>5.3475935828877766E-3</v>
      </c>
      <c r="O137" s="18">
        <f>IF(ISNUMBER(M137), $B145 * N137, "")</f>
        <v>802.13903743316644</v>
      </c>
      <c r="Q137" s="275"/>
      <c r="R137" s="275"/>
      <c r="S137" s="275"/>
    </row>
    <row r="138" spans="1:19" ht="17.25" thickBot="1">
      <c r="A138" s="124" t="s">
        <v>154</v>
      </c>
      <c r="B138" s="125">
        <v>21.5</v>
      </c>
      <c r="C138" s="73">
        <v>-9.2165899000000006E-3</v>
      </c>
      <c r="D138" s="15">
        <v>21.5</v>
      </c>
      <c r="E138" s="32">
        <f t="shared" si="70"/>
        <v>0</v>
      </c>
      <c r="F138" s="18">
        <f>IF(ISNUMBER(D138), $B145 * E138, "")</f>
        <v>0</v>
      </c>
      <c r="G138" s="31">
        <v>21.2</v>
      </c>
      <c r="H138" s="32">
        <f t="shared" si="71"/>
        <v>-1.3953488372093056E-2</v>
      </c>
      <c r="I138" s="97">
        <f>IF(ISNUMBER(G138), $B145 * H138, "")</f>
        <v>-2093.0232558139583</v>
      </c>
      <c r="J138" s="15">
        <v>21.2</v>
      </c>
      <c r="K138" s="32">
        <f t="shared" si="72"/>
        <v>-1.3953488372093056E-2</v>
      </c>
      <c r="L138" s="18">
        <f>IF(ISNUMBER(J138), $B145 * K138, "")</f>
        <v>-2093.0232558139583</v>
      </c>
      <c r="M138" s="31">
        <v>21.1</v>
      </c>
      <c r="N138" s="32">
        <f t="shared" si="73"/>
        <v>-1.8604651162790631E-2</v>
      </c>
      <c r="O138" s="18">
        <f>IF(ISNUMBER(M138), $B145 * N138, "")</f>
        <v>-2790.6976744185949</v>
      </c>
      <c r="Q138" s="270"/>
      <c r="R138" s="270"/>
      <c r="S138" s="270"/>
    </row>
    <row r="139" spans="1:19" ht="17.25" thickBot="1">
      <c r="A139" s="126" t="s">
        <v>236</v>
      </c>
      <c r="B139" s="127">
        <v>69.599999999999994</v>
      </c>
      <c r="C139" s="74">
        <v>-1.41643059E-2</v>
      </c>
      <c r="D139" s="20">
        <v>69.3</v>
      </c>
      <c r="E139" s="21">
        <f t="shared" si="70"/>
        <v>-4.3103448275861661E-3</v>
      </c>
      <c r="F139" s="22">
        <f>IF(ISNUMBER(D139), $B145 * E139, "")</f>
        <v>-646.55172413792491</v>
      </c>
      <c r="G139" s="30">
        <v>69.2</v>
      </c>
      <c r="H139" s="21">
        <f t="shared" si="71"/>
        <v>-5.7471264367814868E-3</v>
      </c>
      <c r="I139" s="101">
        <f>IF(ISNUMBER(G139), $B145 * H139, "")</f>
        <v>-862.06896551722298</v>
      </c>
      <c r="J139" s="20">
        <v>68.5</v>
      </c>
      <c r="K139" s="21">
        <f t="shared" si="72"/>
        <v>-1.5804597701149344E-2</v>
      </c>
      <c r="L139" s="22">
        <f>IF(ISNUMBER(J139), $B145 * K139, "")</f>
        <v>-2370.6896551724017</v>
      </c>
      <c r="M139" s="30">
        <v>68.3</v>
      </c>
      <c r="N139" s="21">
        <f t="shared" si="73"/>
        <v>-1.867816091954019E-2</v>
      </c>
      <c r="O139" s="22">
        <f>IF(ISNUMBER(M139), $B145 * N139, "")</f>
        <v>-2801.7241379310285</v>
      </c>
      <c r="Q139" s="270"/>
      <c r="R139" s="270"/>
      <c r="S139" s="270"/>
    </row>
    <row r="140" spans="1:19" ht="17.25" thickBot="1">
      <c r="A140" s="124" t="s">
        <v>172</v>
      </c>
      <c r="B140" s="128">
        <v>25.6</v>
      </c>
      <c r="C140" s="76">
        <v>-1.5384615399999999E-2</v>
      </c>
      <c r="D140" s="102">
        <v>25.6</v>
      </c>
      <c r="E140" s="103">
        <f>IF(ISNUMBER(D140), (D140 - $B140) / $B140, "")</f>
        <v>0</v>
      </c>
      <c r="F140" s="104">
        <f>IF(ISNUMBER(D140), $B145 * E140, "")</f>
        <v>0</v>
      </c>
      <c r="G140" s="105">
        <v>25.5</v>
      </c>
      <c r="H140" s="103">
        <f>IF(ISNUMBER(G140), (G140 - $B140) / $B140, "")</f>
        <v>-3.9062500000000555E-3</v>
      </c>
      <c r="I140" s="106">
        <f>IF(ISNUMBER(G140), $B145 * H140, "")</f>
        <v>-585.9375000000083</v>
      </c>
      <c r="J140" s="102">
        <v>25.3</v>
      </c>
      <c r="K140" s="103">
        <f>IF(ISNUMBER(J140), (J140 - $B140) / $B140, "")</f>
        <v>-1.1718750000000028E-2</v>
      </c>
      <c r="L140" s="104">
        <f>IF(ISNUMBER(J140), $B145 * K140, "")</f>
        <v>-1757.8125000000041</v>
      </c>
      <c r="M140" s="105">
        <v>25.2</v>
      </c>
      <c r="N140" s="103">
        <f>IF(ISNUMBER(M140), (M140 - $B140) / $B140, "")</f>
        <v>-1.5625000000000083E-2</v>
      </c>
      <c r="O140" s="104">
        <f>IF(ISNUMBER(M140), $B145 * N140, "")</f>
        <v>-2343.7500000000123</v>
      </c>
      <c r="Q140" s="275"/>
      <c r="R140" s="275"/>
      <c r="S140" s="275"/>
    </row>
    <row r="141" spans="1:19" ht="17.25" thickBot="1">
      <c r="A141" s="124" t="s">
        <v>214</v>
      </c>
      <c r="B141" s="125">
        <v>22.4</v>
      </c>
      <c r="C141" s="73">
        <v>-1.75438596E-2</v>
      </c>
      <c r="D141" s="15">
        <v>22.4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22.3</v>
      </c>
      <c r="H141" s="32">
        <f t="shared" ref="H141:H144" si="75">IF(ISNUMBER(G141), (G141 - $B141) / $B141, "")</f>
        <v>-4.4642857142856195E-3</v>
      </c>
      <c r="I141" s="97">
        <f>IF(ISNUMBER(G141), $B145 * H141, "")</f>
        <v>-669.6428571428429</v>
      </c>
      <c r="J141" s="15">
        <v>22.2</v>
      </c>
      <c r="K141" s="32">
        <f t="shared" ref="K141:K144" si="76">IF(ISNUMBER(J141), (J141 - $B141) / $B141, "")</f>
        <v>-8.9285714285713969E-3</v>
      </c>
      <c r="L141" s="18">
        <f>IF(ISNUMBER(J141), $B145 * K141, "")</f>
        <v>-1339.2857142857094</v>
      </c>
      <c r="M141" s="31">
        <v>22.2</v>
      </c>
      <c r="N141" s="32">
        <f t="shared" ref="N141:N144" si="77">IF(ISNUMBER(M141), (M141 - $B141) / $B141, "")</f>
        <v>-8.9285714285713969E-3</v>
      </c>
      <c r="O141" s="18">
        <f>IF(ISNUMBER(M141), $B145 * N141, "")</f>
        <v>-1339.2857142857094</v>
      </c>
      <c r="Q141" s="275"/>
      <c r="R141" s="275"/>
      <c r="S141" s="275"/>
    </row>
    <row r="142" spans="1:19" ht="17.25" thickBot="1">
      <c r="A142" s="124" t="s">
        <v>218</v>
      </c>
      <c r="B142" s="125">
        <v>28.8</v>
      </c>
      <c r="C142" s="73">
        <v>-2.0408163300000001E-2</v>
      </c>
      <c r="D142" s="15">
        <v>28.9</v>
      </c>
      <c r="E142" s="32">
        <f t="shared" si="74"/>
        <v>3.4722222222221483E-3</v>
      </c>
      <c r="F142" s="18">
        <f>IF(ISNUMBER(D142), $B145 * E142, "")</f>
        <v>520.83333333332223</v>
      </c>
      <c r="G142" s="31">
        <v>28.7</v>
      </c>
      <c r="H142" s="32">
        <f t="shared" si="75"/>
        <v>-3.4722222222222715E-3</v>
      </c>
      <c r="I142" s="97">
        <f>IF(ISNUMBER(G142), $B145 * H142, "")</f>
        <v>-520.83333333334076</v>
      </c>
      <c r="J142" s="15">
        <v>28.6</v>
      </c>
      <c r="K142" s="32">
        <f t="shared" si="76"/>
        <v>-6.9444444444444198E-3</v>
      </c>
      <c r="L142" s="18">
        <f>IF(ISNUMBER(J142), $B145 * K142, "")</f>
        <v>-1041.6666666666629</v>
      </c>
      <c r="M142" s="31">
        <v>28.5</v>
      </c>
      <c r="N142" s="32">
        <f t="shared" si="77"/>
        <v>-1.041666666666669E-2</v>
      </c>
      <c r="O142" s="18">
        <f>IF(ISNUMBER(M142), $B145 * N142, "")</f>
        <v>-1562.5000000000036</v>
      </c>
      <c r="Q142" s="275"/>
      <c r="R142" s="275"/>
      <c r="S142" s="275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97"/>
      <c r="R143" s="298"/>
      <c r="S143" s="299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00"/>
      <c r="R144" s="301"/>
      <c r="S144" s="302"/>
    </row>
    <row r="145" spans="1:19" ht="17.25" thickBot="1">
      <c r="A145" s="131" t="s">
        <v>301</v>
      </c>
      <c r="B145" s="308">
        <f>$B$37</f>
        <v>150000</v>
      </c>
      <c r="C145" s="309"/>
      <c r="D145" s="26" t="s">
        <v>302</v>
      </c>
      <c r="E145" s="27">
        <f>IF(COUNT(E125:E144), SUM(E125:E144) / COUNT(E125:E144), 0)</f>
        <v>-2.8032605798057489E-4</v>
      </c>
      <c r="F145" s="28">
        <f>SUM(F125:F144)</f>
        <v>-756.88035654755151</v>
      </c>
      <c r="G145" s="26" t="s">
        <v>302</v>
      </c>
      <c r="H145" s="27">
        <f>IF(COUNT(H125:H144), SUM(H125:H144) / COUNT(H125:H144), 0)</f>
        <v>-4.1172090201973717E-3</v>
      </c>
      <c r="I145" s="28">
        <f>SUM(I125:I144)</f>
        <v>-11116.464354532902</v>
      </c>
      <c r="J145" s="26" t="s">
        <v>302</v>
      </c>
      <c r="K145" s="27">
        <f>IF(COUNT(K125:K144), SUM(K125:K144) / COUNT(K125:K144), 0)</f>
        <v>-5.4745144747983601E-3</v>
      </c>
      <c r="L145" s="28">
        <f>SUM(L125:L144)</f>
        <v>-14781.189081955576</v>
      </c>
      <c r="M145" s="26" t="s">
        <v>302</v>
      </c>
      <c r="N145" s="27">
        <f>IF(COUNT(N125:N144), SUM(N125:N144) / COUNT(N125:N144), 0)</f>
        <v>-5.2814960632924903E-3</v>
      </c>
      <c r="O145" s="28">
        <f>SUM(O125:O144)</f>
        <v>-14260.03937088973</v>
      </c>
      <c r="Q145" s="303"/>
      <c r="R145" s="304"/>
      <c r="S145" s="305"/>
    </row>
    <row r="147" spans="1:19" ht="17.25" thickBot="1"/>
    <row r="148" spans="1:19" ht="17.25" thickBot="1">
      <c r="A148" s="249" t="s">
        <v>289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1"/>
      <c r="Q148" s="270"/>
      <c r="R148" s="270"/>
      <c r="S148" s="270"/>
    </row>
    <row r="149" spans="1:19" ht="17.25" thickBot="1">
      <c r="A149" s="159" t="s">
        <v>298</v>
      </c>
      <c r="B149" s="249" t="s">
        <v>49</v>
      </c>
      <c r="C149" s="251"/>
      <c r="D149" s="249" t="s">
        <v>58</v>
      </c>
      <c r="E149" s="250"/>
      <c r="F149" s="251"/>
      <c r="G149" s="276">
        <f>_xlfn.IFNA(VLOOKUP(B149, 현재가테이블!$B$2:$D$200, 2, FALSE), "-")</f>
        <v>60874000</v>
      </c>
      <c r="H149" s="277"/>
      <c r="I149" s="278"/>
      <c r="J149" s="249" t="s">
        <v>59</v>
      </c>
      <c r="K149" s="250"/>
      <c r="L149" s="251"/>
      <c r="M149" s="279">
        <f>_xlfn.IFNA(VLOOKUP(B149, 현재가테이블!$B$2:$D$200, 3, FALSE), "-")</f>
        <v>-1.4936000099999999E-2</v>
      </c>
      <c r="N149" s="280"/>
      <c r="O149" s="281"/>
      <c r="Q149" s="270"/>
      <c r="R149" s="270"/>
      <c r="S149" s="270"/>
    </row>
    <row r="150" spans="1:19" ht="17.25" thickBot="1">
      <c r="A150" s="310" t="s">
        <v>55</v>
      </c>
      <c r="B150" s="312" t="str">
        <f>TEXT($G$1, "[$-ko-KR]yyyy-mm-dd(ddd) ") &amp; "오전 00:00"</f>
        <v>2021-05-06(목) 오전 00:00</v>
      </c>
      <c r="C150" s="313"/>
      <c r="D150" s="272" t="str">
        <f>TEXT($G$1, "[$-ko-KR]yyyy-mm-dd(ddd) ") &amp; "오후 14:00"</f>
        <v>2021-05-06(목) 오후 14:00</v>
      </c>
      <c r="E150" s="273"/>
      <c r="F150" s="274"/>
      <c r="G150" s="272" t="str">
        <f>TEXT($G$1, "[$-ko-KR]yyyy-mm-dd(ddd) ") &amp; "오후 19:00"</f>
        <v>2021-05-06(목) 오후 19:00</v>
      </c>
      <c r="H150" s="273"/>
      <c r="I150" s="274"/>
      <c r="J150" s="272" t="str">
        <f>TEXT($G$1, "[$-ko-KR]yyyy-mm-dd(ddd) ") &amp; "오후 21:00"</f>
        <v>2021-05-06(목) 오후 21:00</v>
      </c>
      <c r="K150" s="273"/>
      <c r="L150" s="274"/>
      <c r="M150" s="272" t="str">
        <f>TEXT($G$1+1, "[$-ko-KR]yyyy-mm-dd(ddd) ") &amp; "오전 00:00"</f>
        <v>2021-05-07(금) 오전 00:00</v>
      </c>
      <c r="N150" s="273"/>
      <c r="O150" s="274"/>
      <c r="Q150" s="270"/>
      <c r="R150" s="270"/>
      <c r="S150" s="270"/>
    </row>
    <row r="151" spans="1:19" ht="17.25" thickBot="1">
      <c r="A151" s="311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0" t="s">
        <v>58</v>
      </c>
      <c r="H151" s="161" t="s">
        <v>299</v>
      </c>
      <c r="I151" s="162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75"/>
      <c r="R151" s="275"/>
      <c r="S151" s="275"/>
    </row>
    <row r="152" spans="1:19" ht="17.25" thickBot="1">
      <c r="A152" s="122" t="s">
        <v>264</v>
      </c>
      <c r="B152" s="123">
        <v>173</v>
      </c>
      <c r="C152" s="72">
        <v>-1.14285714E-2</v>
      </c>
      <c r="D152" s="13">
        <v>176</v>
      </c>
      <c r="E152" s="14">
        <f>IF(ISNUMBER(D152), (D152 - $B152) / $B152, "")</f>
        <v>1.7341040462427744E-2</v>
      </c>
      <c r="F152" s="16">
        <f>IF(ISNUMBER(D152), $B172 * E152, "")</f>
        <v>2601.1560693641618</v>
      </c>
      <c r="G152" s="29">
        <v>177</v>
      </c>
      <c r="H152" s="14">
        <f>IF(ISNUMBER(G152), (G152 - $B152) / $B152, "")</f>
        <v>2.3121387283236993E-2</v>
      </c>
      <c r="I152" s="96">
        <f>IF(ISNUMBER(G152), $B172 * H152, "")</f>
        <v>3468.2080924855491</v>
      </c>
      <c r="J152" s="13">
        <v>182</v>
      </c>
      <c r="K152" s="14">
        <f>IF(ISNUMBER(J152), (J152 - $B152) / $B152, "")</f>
        <v>5.2023121387283239E-2</v>
      </c>
      <c r="L152" s="16">
        <f>IF(ISNUMBER(J152), $B172 * K152, "")</f>
        <v>7803.4682080924858</v>
      </c>
      <c r="M152" s="29">
        <v>179</v>
      </c>
      <c r="N152" s="14">
        <f>IF(ISNUMBER(M152), (M152 - $B152) / $B152, "")</f>
        <v>3.4682080924855488E-2</v>
      </c>
      <c r="O152" s="16">
        <f>IF(ISNUMBER(M152), $B172 * N152, "")</f>
        <v>5202.3121387283236</v>
      </c>
      <c r="Q152" s="270"/>
      <c r="R152" s="270"/>
      <c r="S152" s="270"/>
    </row>
    <row r="153" spans="1:19" ht="17.25" thickBot="1">
      <c r="A153" s="124" t="s">
        <v>112</v>
      </c>
      <c r="B153" s="125">
        <v>256</v>
      </c>
      <c r="C153" s="73">
        <v>-1.15830116E-2</v>
      </c>
      <c r="D153" s="15">
        <v>257</v>
      </c>
      <c r="E153" s="32">
        <f t="shared" ref="E153:E156" si="78">IF(ISNUMBER(D153), (D153 - $B153) / $B153, "")</f>
        <v>3.90625E-3</v>
      </c>
      <c r="F153" s="18">
        <f>IF(ISNUMBER(D153), $B172 * E153, "")</f>
        <v>585.9375</v>
      </c>
      <c r="G153" s="31">
        <v>255</v>
      </c>
      <c r="H153" s="32">
        <f t="shared" ref="H153:H156" si="79">IF(ISNUMBER(G153), (G153 - $B153) / $B153, "")</f>
        <v>-3.90625E-3</v>
      </c>
      <c r="I153" s="97">
        <f>IF(ISNUMBER(G153), $B172 * H153, "")</f>
        <v>-585.9375</v>
      </c>
      <c r="J153" s="15">
        <v>253</v>
      </c>
      <c r="K153" s="32">
        <f t="shared" ref="K153:K156" si="80">IF(ISNUMBER(J153), (J153 - $B153) / $B153, "")</f>
        <v>-1.171875E-2</v>
      </c>
      <c r="L153" s="18">
        <f>IF(ISNUMBER(J153), $B172 * K153, "")</f>
        <v>-1757.8125</v>
      </c>
      <c r="M153" s="31">
        <v>253</v>
      </c>
      <c r="N153" s="32">
        <f t="shared" ref="N153:N156" si="81">IF(ISNUMBER(M153), (M153 - $B153) / $B153, "")</f>
        <v>-1.171875E-2</v>
      </c>
      <c r="O153" s="18">
        <f>IF(ISNUMBER(M153), $B172 * N153, "")</f>
        <v>-1757.8125</v>
      </c>
      <c r="Q153" s="270"/>
      <c r="R153" s="270"/>
      <c r="S153" s="270"/>
    </row>
    <row r="154" spans="1:19" ht="17.25" thickBot="1">
      <c r="A154" s="124" t="s">
        <v>202</v>
      </c>
      <c r="B154" s="125">
        <v>215</v>
      </c>
      <c r="C154" s="73">
        <v>-1.3761467899999999E-2</v>
      </c>
      <c r="D154" s="15">
        <v>222</v>
      </c>
      <c r="E154" s="32">
        <f t="shared" si="78"/>
        <v>3.255813953488372E-2</v>
      </c>
      <c r="F154" s="18">
        <f>IF(ISNUMBER(D154), $B172 * E154, "")</f>
        <v>4883.7209302325582</v>
      </c>
      <c r="G154" s="31">
        <v>226</v>
      </c>
      <c r="H154" s="32">
        <f t="shared" si="79"/>
        <v>5.1162790697674418E-2</v>
      </c>
      <c r="I154" s="97">
        <f>IF(ISNUMBER(G154), $B172 * H154, "")</f>
        <v>7674.4186046511622</v>
      </c>
      <c r="J154" s="15">
        <v>218</v>
      </c>
      <c r="K154" s="32">
        <f t="shared" si="80"/>
        <v>1.3953488372093023E-2</v>
      </c>
      <c r="L154" s="18">
        <f>IF(ISNUMBER(J154), $B172 * K154, "")</f>
        <v>2093.0232558139533</v>
      </c>
      <c r="M154" s="31">
        <v>216</v>
      </c>
      <c r="N154" s="32">
        <f t="shared" si="81"/>
        <v>4.6511627906976744E-3</v>
      </c>
      <c r="O154" s="18">
        <f>IF(ISNUMBER(M154), $B172 * N154, "")</f>
        <v>697.67441860465112</v>
      </c>
      <c r="Q154" s="275"/>
      <c r="R154" s="275"/>
      <c r="S154" s="275"/>
    </row>
    <row r="155" spans="1:19" ht="17.25" thickBot="1">
      <c r="A155" s="124" t="s">
        <v>174</v>
      </c>
      <c r="B155" s="125">
        <v>276</v>
      </c>
      <c r="C155" s="73">
        <v>-1.42857143E-2</v>
      </c>
      <c r="D155" s="15">
        <v>279</v>
      </c>
      <c r="E155" s="32">
        <f t="shared" si="78"/>
        <v>1.0869565217391304E-2</v>
      </c>
      <c r="F155" s="18">
        <f>IF(ISNUMBER(D155), $B172 * E155, "")</f>
        <v>1630.4347826086955</v>
      </c>
      <c r="G155" s="31">
        <v>281</v>
      </c>
      <c r="H155" s="32">
        <f t="shared" si="79"/>
        <v>1.8115942028985508E-2</v>
      </c>
      <c r="I155" s="97">
        <f>IF(ISNUMBER(G155), $B172 * H155, "")</f>
        <v>2717.391304347826</v>
      </c>
      <c r="J155" s="15">
        <v>275</v>
      </c>
      <c r="K155" s="32">
        <f t="shared" si="80"/>
        <v>-3.6231884057971015E-3</v>
      </c>
      <c r="L155" s="18">
        <f>IF(ISNUMBER(J155), $B172 * K155, "")</f>
        <v>-543.47826086956525</v>
      </c>
      <c r="M155" s="31">
        <v>273</v>
      </c>
      <c r="N155" s="32">
        <f t="shared" si="81"/>
        <v>-1.0869565217391304E-2</v>
      </c>
      <c r="O155" s="18">
        <f>IF(ISNUMBER(M155), $B172 * N155, "")</f>
        <v>-1630.4347826086955</v>
      </c>
      <c r="Q155" s="275"/>
      <c r="R155" s="275"/>
      <c r="S155" s="275"/>
    </row>
    <row r="156" spans="1:19" ht="17.25" thickBot="1">
      <c r="A156" s="126" t="s">
        <v>210</v>
      </c>
      <c r="B156" s="127">
        <v>197</v>
      </c>
      <c r="C156" s="74">
        <v>-1.4999999999999999E-2</v>
      </c>
      <c r="D156" s="20">
        <v>199</v>
      </c>
      <c r="E156" s="21">
        <f t="shared" si="78"/>
        <v>1.015228426395939E-2</v>
      </c>
      <c r="F156" s="22">
        <f>IF(ISNUMBER(D156), $B172 * E156, "")</f>
        <v>1522.8426395939084</v>
      </c>
      <c r="G156" s="30">
        <v>197</v>
      </c>
      <c r="H156" s="21">
        <f t="shared" si="79"/>
        <v>0</v>
      </c>
      <c r="I156" s="101">
        <f>IF(ISNUMBER(G156), $B172 * H156, "")</f>
        <v>0</v>
      </c>
      <c r="J156" s="20">
        <v>195</v>
      </c>
      <c r="K156" s="21">
        <f t="shared" si="80"/>
        <v>-1.015228426395939E-2</v>
      </c>
      <c r="L156" s="22">
        <f>IF(ISNUMBER(J156), $B172 * K156, "")</f>
        <v>-1522.8426395939084</v>
      </c>
      <c r="M156" s="30">
        <v>194</v>
      </c>
      <c r="N156" s="21">
        <f t="shared" si="81"/>
        <v>-1.5228426395939087E-2</v>
      </c>
      <c r="O156" s="22">
        <f>IF(ISNUMBER(M156), $B172 * N156, "")</f>
        <v>-2284.263959390863</v>
      </c>
      <c r="Q156" s="275"/>
      <c r="R156" s="275"/>
      <c r="S156" s="275"/>
    </row>
    <row r="157" spans="1:19" ht="17.25" thickBot="1">
      <c r="A157" s="124" t="s">
        <v>208</v>
      </c>
      <c r="B157" s="128">
        <v>494</v>
      </c>
      <c r="C157" s="76">
        <v>-1.5936255E-2</v>
      </c>
      <c r="D157" s="102">
        <v>496</v>
      </c>
      <c r="E157" s="103">
        <f>IF(ISNUMBER(D157), (D157 - $B157) / $B157, "")</f>
        <v>4.048582995951417E-3</v>
      </c>
      <c r="F157" s="104">
        <f>IF(ISNUMBER(D157), $B172 * E157, "")</f>
        <v>607.28744939271257</v>
      </c>
      <c r="G157" s="105">
        <v>491</v>
      </c>
      <c r="H157" s="103">
        <f>IF(ISNUMBER(G157), (G157 - $B157) / $B157, "")</f>
        <v>-6.0728744939271256E-3</v>
      </c>
      <c r="I157" s="106">
        <f>IF(ISNUMBER(G157), $B172 * H157, "")</f>
        <v>-910.9311740890688</v>
      </c>
      <c r="J157" s="102">
        <v>490</v>
      </c>
      <c r="K157" s="103">
        <f>IF(ISNUMBER(J157), (J157 - $B157) / $B157, "")</f>
        <v>-8.0971659919028341E-3</v>
      </c>
      <c r="L157" s="104">
        <f>IF(ISNUMBER(J157), $B172 * K157, "")</f>
        <v>-1214.5748987854251</v>
      </c>
      <c r="M157" s="105">
        <v>490</v>
      </c>
      <c r="N157" s="103">
        <f>IF(ISNUMBER(M157), (M157 - $B157) / $B157, "")</f>
        <v>-8.0971659919028341E-3</v>
      </c>
      <c r="O157" s="104">
        <f>IF(ISNUMBER(M157), $B172 * N157, "")</f>
        <v>-1214.5748987854251</v>
      </c>
      <c r="Q157" s="275"/>
      <c r="R157" s="275"/>
      <c r="S157" s="275"/>
    </row>
    <row r="158" spans="1:19" ht="17.25" thickBot="1">
      <c r="A158" s="124" t="s">
        <v>238</v>
      </c>
      <c r="B158" s="125">
        <v>294</v>
      </c>
      <c r="C158" s="73">
        <v>-1.6722408000000001E-2</v>
      </c>
      <c r="D158" s="15">
        <v>296</v>
      </c>
      <c r="E158" s="32">
        <f t="shared" ref="E158:E161" si="82">IF(ISNUMBER(D158), (D158 - $B158) / $B158, "")</f>
        <v>6.8027210884353739E-3</v>
      </c>
      <c r="F158" s="18">
        <f>IF(ISNUMBER(D158), $B172 * E158, "")</f>
        <v>1020.408163265306</v>
      </c>
      <c r="G158" s="31">
        <v>295</v>
      </c>
      <c r="H158" s="32">
        <f t="shared" ref="H158:H161" si="83">IF(ISNUMBER(G158), (G158 - $B158) / $B158, "")</f>
        <v>3.4013605442176869E-3</v>
      </c>
      <c r="I158" s="97">
        <f>IF(ISNUMBER(G158), $B172 * H158, "")</f>
        <v>510.20408163265301</v>
      </c>
      <c r="J158" s="15">
        <v>294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291</v>
      </c>
      <c r="N158" s="32">
        <f t="shared" ref="N158:N161" si="85">IF(ISNUMBER(M158), (M158 - $B158) / $B158, "")</f>
        <v>-1.020408163265306E-2</v>
      </c>
      <c r="O158" s="18">
        <f>IF(ISNUMBER(M158), $B172 * N158, "")</f>
        <v>-1530.612244897959</v>
      </c>
      <c r="Q158" s="275"/>
      <c r="R158" s="275"/>
      <c r="S158" s="275"/>
    </row>
    <row r="159" spans="1:19" ht="17.25" thickBot="1">
      <c r="A159" s="124" t="s">
        <v>246</v>
      </c>
      <c r="B159" s="125">
        <v>401</v>
      </c>
      <c r="C159" s="73">
        <v>-1.7156862700000001E-2</v>
      </c>
      <c r="D159" s="15">
        <v>397</v>
      </c>
      <c r="E159" s="32">
        <f t="shared" si="82"/>
        <v>-9.9750623441396506E-3</v>
      </c>
      <c r="F159" s="18">
        <f>IF(ISNUMBER(D159), $B172 * E159, "")</f>
        <v>-1496.2593516209477</v>
      </c>
      <c r="G159" s="31">
        <v>395</v>
      </c>
      <c r="H159" s="32">
        <f t="shared" si="83"/>
        <v>-1.4962593516209476E-2</v>
      </c>
      <c r="I159" s="97">
        <f>IF(ISNUMBER(G159), $B172 * H159, "")</f>
        <v>-2244.3890274314213</v>
      </c>
      <c r="J159" s="15">
        <v>395</v>
      </c>
      <c r="K159" s="32">
        <f t="shared" si="84"/>
        <v>-1.4962593516209476E-2</v>
      </c>
      <c r="L159" s="18">
        <f>IF(ISNUMBER(J159), $B172 * K159, "")</f>
        <v>-2244.3890274314213</v>
      </c>
      <c r="M159" s="31">
        <v>391</v>
      </c>
      <c r="N159" s="32">
        <f t="shared" si="85"/>
        <v>-2.4937655860349128E-2</v>
      </c>
      <c r="O159" s="18">
        <f>IF(ISNUMBER(M159), $B172 * N159, "")</f>
        <v>-3740.6483790523694</v>
      </c>
      <c r="Q159" s="275"/>
      <c r="R159" s="275"/>
      <c r="S159" s="275"/>
    </row>
    <row r="160" spans="1:19" ht="17.25" thickBot="1">
      <c r="A160" s="124" t="s">
        <v>282</v>
      </c>
      <c r="B160" s="125">
        <v>163</v>
      </c>
      <c r="C160" s="73">
        <v>-1.8072289200000001E-2</v>
      </c>
      <c r="D160" s="15">
        <v>169</v>
      </c>
      <c r="E160" s="32">
        <f t="shared" si="82"/>
        <v>3.6809815950920248E-2</v>
      </c>
      <c r="F160" s="18">
        <f>IF(ISNUMBER(D160), $B172 * E160, "")</f>
        <v>5521.4723926380375</v>
      </c>
      <c r="G160" s="31">
        <v>170</v>
      </c>
      <c r="H160" s="32">
        <f t="shared" si="83"/>
        <v>4.2944785276073622E-2</v>
      </c>
      <c r="I160" s="97">
        <f>IF(ISNUMBER(G160), $B172 * H160, "")</f>
        <v>6441.7177914110434</v>
      </c>
      <c r="J160" s="15">
        <v>169</v>
      </c>
      <c r="K160" s="32">
        <f t="shared" si="84"/>
        <v>3.6809815950920248E-2</v>
      </c>
      <c r="L160" s="18">
        <f>IF(ISNUMBER(J160), $B172 * K160, "")</f>
        <v>5521.4723926380375</v>
      </c>
      <c r="M160" s="31">
        <v>168</v>
      </c>
      <c r="N160" s="32">
        <f t="shared" si="85"/>
        <v>3.0674846625766871E-2</v>
      </c>
      <c r="O160" s="18">
        <f>IF(ISNUMBER(M160), $B172 * N160, "")</f>
        <v>4601.2269938650306</v>
      </c>
      <c r="Q160" s="33"/>
      <c r="R160" s="33"/>
    </row>
    <row r="161" spans="1:19" ht="17.25" thickBot="1">
      <c r="A161" s="129" t="s">
        <v>212</v>
      </c>
      <c r="B161" s="130">
        <v>153</v>
      </c>
      <c r="C161" s="75">
        <v>-1.9230769200000001E-2</v>
      </c>
      <c r="D161" s="24">
        <v>162</v>
      </c>
      <c r="E161" s="25">
        <f t="shared" si="82"/>
        <v>5.8823529411764705E-2</v>
      </c>
      <c r="F161" s="100">
        <f>IF(ISNUMBER(D161), $B172 * E161, "")</f>
        <v>8823.5294117647063</v>
      </c>
      <c r="G161" s="98">
        <v>157</v>
      </c>
      <c r="H161" s="25">
        <f t="shared" si="83"/>
        <v>2.6143790849673203E-2</v>
      </c>
      <c r="I161" s="99">
        <f>IF(ISNUMBER(G161), $B172 * H161, "")</f>
        <v>3921.5686274509803</v>
      </c>
      <c r="J161" s="24">
        <v>158</v>
      </c>
      <c r="K161" s="25">
        <f t="shared" si="84"/>
        <v>3.2679738562091505E-2</v>
      </c>
      <c r="L161" s="100">
        <f>IF(ISNUMBER(J161), $B172 * K161, "")</f>
        <v>4901.9607843137255</v>
      </c>
      <c r="M161" s="98">
        <v>156</v>
      </c>
      <c r="N161" s="25">
        <f t="shared" si="85"/>
        <v>1.9607843137254902E-2</v>
      </c>
      <c r="O161" s="100">
        <f>IF(ISNUMBER(M161), $B172 * N161, "")</f>
        <v>2941.1764705882351</v>
      </c>
      <c r="Q161" s="284"/>
      <c r="R161" s="285"/>
      <c r="S161" s="286"/>
    </row>
    <row r="162" spans="1:19">
      <c r="A162" s="122" t="s">
        <v>226</v>
      </c>
      <c r="B162" s="123">
        <v>502</v>
      </c>
      <c r="C162" s="72">
        <v>-1.953125E-2</v>
      </c>
      <c r="D162" s="13">
        <v>512</v>
      </c>
      <c r="E162" s="14">
        <f>IF(ISNUMBER(D162), (D162 - $B162) / $B162, "")</f>
        <v>1.9920318725099601E-2</v>
      </c>
      <c r="F162" s="16">
        <f>IF(ISNUMBER(D162), $B172 * E162, "")</f>
        <v>2988.0478087649403</v>
      </c>
      <c r="G162" s="29">
        <v>508</v>
      </c>
      <c r="H162" s="14">
        <f>IF(ISNUMBER(G162), (G162 - $B162) / $B162, "")</f>
        <v>1.1952191235059761E-2</v>
      </c>
      <c r="I162" s="96">
        <f>IF(ISNUMBER(G162), $B172 * H162, "")</f>
        <v>1792.828685258964</v>
      </c>
      <c r="J162" s="13">
        <v>507</v>
      </c>
      <c r="K162" s="14">
        <f>IF(ISNUMBER(J162), (J162 - $B162) / $B162, "")</f>
        <v>9.9601593625498006E-3</v>
      </c>
      <c r="L162" s="16">
        <f>IF(ISNUMBER(J162), $B172 * K162, "")</f>
        <v>1494.0239043824702</v>
      </c>
      <c r="M162" s="29">
        <v>503</v>
      </c>
      <c r="N162" s="14">
        <f>IF(ISNUMBER(M162), (M162 - $B162) / $B162, "")</f>
        <v>1.9920318725099601E-3</v>
      </c>
      <c r="O162" s="16">
        <f>IF(ISNUMBER(M162), $B172 * N162, "")</f>
        <v>298.80478087649402</v>
      </c>
      <c r="Q162" s="287"/>
      <c r="R162" s="288"/>
      <c r="S162" s="289"/>
    </row>
    <row r="163" spans="1:19" ht="17.25" thickBot="1">
      <c r="A163" s="124" t="s">
        <v>284</v>
      </c>
      <c r="B163" s="125">
        <v>441</v>
      </c>
      <c r="C163" s="73">
        <v>-0.02</v>
      </c>
      <c r="D163" s="15">
        <v>473</v>
      </c>
      <c r="E163" s="32">
        <f t="shared" ref="E163:E166" si="86">IF(ISNUMBER(D163), (D163 - $B163) / $B163, "")</f>
        <v>7.2562358276643993E-2</v>
      </c>
      <c r="F163" s="18">
        <f>IF(ISNUMBER(D163), $B172 * E163, "")</f>
        <v>10884.353741496599</v>
      </c>
      <c r="G163" s="31">
        <v>470</v>
      </c>
      <c r="H163" s="32">
        <f t="shared" ref="H163:H166" si="87">IF(ISNUMBER(G163), (G163 - $B163) / $B163, "")</f>
        <v>6.5759637188208611E-2</v>
      </c>
      <c r="I163" s="97">
        <f>IF(ISNUMBER(G163), $B172 * H163, "")</f>
        <v>9863.9455782312925</v>
      </c>
      <c r="J163" s="15">
        <v>469</v>
      </c>
      <c r="K163" s="32">
        <f t="shared" ref="K163:K166" si="88">IF(ISNUMBER(J163), (J163 - $B163) / $B163, "")</f>
        <v>6.3492063492063489E-2</v>
      </c>
      <c r="L163" s="18">
        <f>IF(ISNUMBER(J163), $B172 * K163, "")</f>
        <v>9523.8095238095229</v>
      </c>
      <c r="M163" s="31">
        <v>471</v>
      </c>
      <c r="N163" s="32">
        <f t="shared" ref="N163:N166" si="89">IF(ISNUMBER(M163), (M163 - $B163) / $B163, "")</f>
        <v>6.8027210884353748E-2</v>
      </c>
      <c r="O163" s="18">
        <f>IF(ISNUMBER(M163), $B172 * N163, "")</f>
        <v>10204.081632653062</v>
      </c>
      <c r="Q163" s="290"/>
      <c r="R163" s="291"/>
      <c r="S163" s="292"/>
    </row>
    <row r="164" spans="1:19" ht="17.25" thickBot="1">
      <c r="A164" s="124" t="s">
        <v>240</v>
      </c>
      <c r="B164" s="125">
        <v>188</v>
      </c>
      <c r="C164" s="73">
        <v>-2.08333333E-2</v>
      </c>
      <c r="D164" s="15">
        <v>187</v>
      </c>
      <c r="E164" s="32">
        <f t="shared" si="86"/>
        <v>-5.3191489361702126E-3</v>
      </c>
      <c r="F164" s="18">
        <f>IF(ISNUMBER(D164), $B172 * E164, "")</f>
        <v>-797.87234042553189</v>
      </c>
      <c r="G164" s="31">
        <v>186</v>
      </c>
      <c r="H164" s="32">
        <f t="shared" si="87"/>
        <v>-1.0638297872340425E-2</v>
      </c>
      <c r="I164" s="97">
        <f>IF(ISNUMBER(G164), $B172 * H164, "")</f>
        <v>-1595.7446808510638</v>
      </c>
      <c r="J164" s="15">
        <v>187</v>
      </c>
      <c r="K164" s="32">
        <f t="shared" si="88"/>
        <v>-5.3191489361702126E-3</v>
      </c>
      <c r="L164" s="18">
        <f>IF(ISNUMBER(J164), $B172 * K164, "")</f>
        <v>-797.87234042553189</v>
      </c>
      <c r="M164" s="31">
        <v>185</v>
      </c>
      <c r="N164" s="32">
        <f t="shared" si="89"/>
        <v>-1.5957446808510637E-2</v>
      </c>
      <c r="O164" s="18">
        <f>IF(ISNUMBER(M164), $B172 * N164, "")</f>
        <v>-2393.6170212765956</v>
      </c>
      <c r="Q164" s="275"/>
      <c r="R164" s="275"/>
      <c r="S164" s="275"/>
    </row>
    <row r="165" spans="1:19" ht="17.25" thickBot="1">
      <c r="A165" s="124" t="s">
        <v>200</v>
      </c>
      <c r="B165" s="125">
        <v>371</v>
      </c>
      <c r="C165" s="73">
        <v>-2.11081794E-2</v>
      </c>
      <c r="D165" s="15">
        <v>374</v>
      </c>
      <c r="E165" s="32">
        <f t="shared" si="86"/>
        <v>8.0862533692722376E-3</v>
      </c>
      <c r="F165" s="18">
        <f>IF(ISNUMBER(D165), $B172 * E165, "")</f>
        <v>1212.9380053908355</v>
      </c>
      <c r="G165" s="31">
        <v>374</v>
      </c>
      <c r="H165" s="32">
        <f t="shared" si="87"/>
        <v>8.0862533692722376E-3</v>
      </c>
      <c r="I165" s="97">
        <f>IF(ISNUMBER(G165), $B172 * H165, "")</f>
        <v>1212.9380053908355</v>
      </c>
      <c r="J165" s="15">
        <v>372</v>
      </c>
      <c r="K165" s="32">
        <f t="shared" si="88"/>
        <v>2.6954177897574125E-3</v>
      </c>
      <c r="L165" s="18">
        <f>IF(ISNUMBER(J165), $B172 * K165, "")</f>
        <v>404.31266846361189</v>
      </c>
      <c r="M165" s="31">
        <v>370</v>
      </c>
      <c r="N165" s="32">
        <f t="shared" si="89"/>
        <v>-2.6954177897574125E-3</v>
      </c>
      <c r="O165" s="18">
        <f>IF(ISNUMBER(M165), $B172 * N165, "")</f>
        <v>-404.31266846361189</v>
      </c>
      <c r="Q165" s="270"/>
      <c r="R165" s="270"/>
      <c r="S165" s="270"/>
    </row>
    <row r="166" spans="1:19" ht="17.25" thickBot="1">
      <c r="A166" s="126" t="s">
        <v>230</v>
      </c>
      <c r="B166" s="127">
        <v>177</v>
      </c>
      <c r="C166" s="74">
        <v>-2.2099447500000001E-2</v>
      </c>
      <c r="D166" s="20">
        <v>177</v>
      </c>
      <c r="E166" s="21">
        <f t="shared" si="86"/>
        <v>0</v>
      </c>
      <c r="F166" s="22">
        <f>IF(ISNUMBER(D166), $B172 * E166, "")</f>
        <v>0</v>
      </c>
      <c r="G166" s="30">
        <v>176</v>
      </c>
      <c r="H166" s="21">
        <f t="shared" si="87"/>
        <v>-5.6497175141242938E-3</v>
      </c>
      <c r="I166" s="101">
        <f>IF(ISNUMBER(G166), $B172 * H166, "")</f>
        <v>-847.45762711864404</v>
      </c>
      <c r="J166" s="20">
        <v>175</v>
      </c>
      <c r="K166" s="21">
        <f t="shared" si="88"/>
        <v>-1.1299435028248588E-2</v>
      </c>
      <c r="L166" s="22">
        <f>IF(ISNUMBER(J166), $B172 * K166, "")</f>
        <v>-1694.9152542372881</v>
      </c>
      <c r="M166" s="30">
        <v>173</v>
      </c>
      <c r="N166" s="21">
        <f t="shared" si="89"/>
        <v>-2.2598870056497175E-2</v>
      </c>
      <c r="O166" s="22">
        <f>IF(ISNUMBER(M166), $B172 * N166, "")</f>
        <v>-3389.8305084745762</v>
      </c>
      <c r="Q166" s="270"/>
      <c r="R166" s="270"/>
      <c r="S166" s="270"/>
    </row>
    <row r="167" spans="1:19" ht="17.25" thickBot="1">
      <c r="A167" s="124" t="s">
        <v>232</v>
      </c>
      <c r="B167" s="128">
        <v>173</v>
      </c>
      <c r="C167" s="76">
        <v>-2.2598870100000001E-2</v>
      </c>
      <c r="D167" s="102">
        <v>176</v>
      </c>
      <c r="E167" s="103">
        <f>IF(ISNUMBER(D167), (D167 - $B167) / $B167, "")</f>
        <v>1.7341040462427744E-2</v>
      </c>
      <c r="F167" s="104">
        <f>IF(ISNUMBER(D167), $B172 * E167, "")</f>
        <v>2601.1560693641618</v>
      </c>
      <c r="G167" s="105">
        <v>175</v>
      </c>
      <c r="H167" s="103">
        <f>IF(ISNUMBER(G167), (G167 - $B167) / $B167, "")</f>
        <v>1.1560693641618497E-2</v>
      </c>
      <c r="I167" s="106">
        <f>IF(ISNUMBER(G167), $B172 * H167, "")</f>
        <v>1734.1040462427745</v>
      </c>
      <c r="J167" s="102">
        <v>175</v>
      </c>
      <c r="K167" s="103">
        <f>IF(ISNUMBER(J167), (J167 - $B167) / $B167, "")</f>
        <v>1.1560693641618497E-2</v>
      </c>
      <c r="L167" s="104">
        <f>IF(ISNUMBER(J167), $B172 * K167, "")</f>
        <v>1734.1040462427745</v>
      </c>
      <c r="M167" s="105">
        <v>173</v>
      </c>
      <c r="N167" s="103">
        <f>IF(ISNUMBER(M167), (M167 - $B167) / $B167, "")</f>
        <v>0</v>
      </c>
      <c r="O167" s="104">
        <f>IF(ISNUMBER(M167), $B172 * N167, "")</f>
        <v>0</v>
      </c>
      <c r="Q167" s="275"/>
      <c r="R167" s="275"/>
      <c r="S167" s="275"/>
    </row>
    <row r="168" spans="1:19" ht="17.25" thickBot="1">
      <c r="A168" s="124" t="s">
        <v>260</v>
      </c>
      <c r="B168" s="125">
        <v>122</v>
      </c>
      <c r="C168" s="73">
        <v>-2.4E-2</v>
      </c>
      <c r="D168" s="15">
        <v>123</v>
      </c>
      <c r="E168" s="32">
        <f t="shared" ref="E168:E171" si="90">IF(ISNUMBER(D168), (D168 - $B168) / $B168, "")</f>
        <v>8.1967213114754103E-3</v>
      </c>
      <c r="F168" s="18">
        <f>IF(ISNUMBER(D168), $B172 * E168, "")</f>
        <v>1229.5081967213116</v>
      </c>
      <c r="G168" s="31">
        <v>123</v>
      </c>
      <c r="H168" s="32">
        <f t="shared" ref="H168:H171" si="91">IF(ISNUMBER(G168), (G168 - $B168) / $B168, "")</f>
        <v>8.1967213114754103E-3</v>
      </c>
      <c r="I168" s="97">
        <f>IF(ISNUMBER(G168), $B172 * H168, "")</f>
        <v>1229.5081967213116</v>
      </c>
      <c r="J168" s="15">
        <v>122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123</v>
      </c>
      <c r="N168" s="32">
        <f t="shared" ref="N168:N171" si="93">IF(ISNUMBER(M168), (M168 - $B168) / $B168, "")</f>
        <v>8.1967213114754103E-3</v>
      </c>
      <c r="O168" s="18">
        <f>IF(ISNUMBER(M168), $B172 * N168, "")</f>
        <v>1229.5081967213116</v>
      </c>
      <c r="Q168" s="275"/>
      <c r="R168" s="275"/>
      <c r="S168" s="275"/>
    </row>
    <row r="169" spans="1:19" ht="17.25" thickBot="1">
      <c r="A169" s="124" t="s">
        <v>122</v>
      </c>
      <c r="B169" s="125">
        <v>116</v>
      </c>
      <c r="C169" s="73">
        <v>-2.5210084000000001E-2</v>
      </c>
      <c r="D169" s="15">
        <v>119</v>
      </c>
      <c r="E169" s="32">
        <f t="shared" si="90"/>
        <v>2.5862068965517241E-2</v>
      </c>
      <c r="F169" s="18">
        <f>IF(ISNUMBER(D169), $B172 * E169, "")</f>
        <v>3879.3103448275861</v>
      </c>
      <c r="G169" s="31">
        <v>119</v>
      </c>
      <c r="H169" s="32">
        <f t="shared" si="91"/>
        <v>2.5862068965517241E-2</v>
      </c>
      <c r="I169" s="97">
        <f>IF(ISNUMBER(G169), $B172 * H169, "")</f>
        <v>3879.3103448275861</v>
      </c>
      <c r="J169" s="15">
        <v>119</v>
      </c>
      <c r="K169" s="32">
        <f t="shared" si="92"/>
        <v>2.5862068965517241E-2</v>
      </c>
      <c r="L169" s="18">
        <f>IF(ISNUMBER(J169), $B172 * K169, "")</f>
        <v>3879.3103448275861</v>
      </c>
      <c r="M169" s="31">
        <v>117</v>
      </c>
      <c r="N169" s="32">
        <f t="shared" si="93"/>
        <v>8.6206896551724137E-3</v>
      </c>
      <c r="O169" s="18">
        <f>IF(ISNUMBER(M169), $B172 * N169, "")</f>
        <v>1293.1034482758621</v>
      </c>
      <c r="Q169" s="275"/>
      <c r="R169" s="275"/>
      <c r="S169" s="275"/>
    </row>
    <row r="170" spans="1:19">
      <c r="A170" s="124" t="s">
        <v>258</v>
      </c>
      <c r="B170" s="125">
        <v>720</v>
      </c>
      <c r="C170" s="73">
        <v>-2.8340081E-2</v>
      </c>
      <c r="D170" s="15">
        <v>717</v>
      </c>
      <c r="E170" s="32">
        <f t="shared" si="90"/>
        <v>-4.1666666666666666E-3</v>
      </c>
      <c r="F170" s="18">
        <f>IF(ISNUMBER(D170), $B172 * E170, "")</f>
        <v>-625</v>
      </c>
      <c r="G170" s="31">
        <v>709</v>
      </c>
      <c r="H170" s="32">
        <f t="shared" si="91"/>
        <v>-1.5277777777777777E-2</v>
      </c>
      <c r="I170" s="97">
        <f>IF(ISNUMBER(G170), $B172 * H170, "")</f>
        <v>-2291.6666666666665</v>
      </c>
      <c r="J170" s="15">
        <v>710</v>
      </c>
      <c r="K170" s="32">
        <f t="shared" si="92"/>
        <v>-1.3888888888888888E-2</v>
      </c>
      <c r="L170" s="18">
        <f>IF(ISNUMBER(J170), $B172 * K170, "")</f>
        <v>-2083.333333333333</v>
      </c>
      <c r="M170" s="31">
        <v>702</v>
      </c>
      <c r="N170" s="32">
        <f t="shared" si="93"/>
        <v>-2.5000000000000001E-2</v>
      </c>
      <c r="O170" s="18">
        <f>IF(ISNUMBER(M170), $B172 * N170, "")</f>
        <v>-3750</v>
      </c>
      <c r="Q170" s="297"/>
      <c r="R170" s="298"/>
      <c r="S170" s="299"/>
    </row>
    <row r="171" spans="1:19" ht="17.25" thickBot="1">
      <c r="A171" s="129" t="s">
        <v>252</v>
      </c>
      <c r="B171" s="130">
        <v>544</v>
      </c>
      <c r="C171" s="75">
        <v>-2.85714286E-2</v>
      </c>
      <c r="D171" s="24">
        <v>559</v>
      </c>
      <c r="E171" s="25">
        <f t="shared" si="90"/>
        <v>2.7573529411764705E-2</v>
      </c>
      <c r="F171" s="100">
        <f>IF(ISNUMBER(D171), $B172 * E171, "")</f>
        <v>4136.0294117647054</v>
      </c>
      <c r="G171" s="98">
        <v>555</v>
      </c>
      <c r="H171" s="25">
        <f t="shared" si="91"/>
        <v>2.0220588235294119E-2</v>
      </c>
      <c r="I171" s="99">
        <f>IF(ISNUMBER(G171), $B172 * H171, "")</f>
        <v>3033.088235294118</v>
      </c>
      <c r="J171" s="24">
        <v>560</v>
      </c>
      <c r="K171" s="25">
        <f t="shared" si="92"/>
        <v>2.9411764705882353E-2</v>
      </c>
      <c r="L171" s="100">
        <f>IF(ISNUMBER(J171), $B172 * K171, "")</f>
        <v>4411.7647058823532</v>
      </c>
      <c r="M171" s="98">
        <v>557</v>
      </c>
      <c r="N171" s="25">
        <f t="shared" si="93"/>
        <v>2.389705882352941E-2</v>
      </c>
      <c r="O171" s="100">
        <f>IF(ISNUMBER(M171), $B172 * N171, "")</f>
        <v>3584.5588235294117</v>
      </c>
      <c r="Q171" s="300"/>
      <c r="R171" s="301"/>
      <c r="S171" s="302"/>
    </row>
    <row r="172" spans="1:19" ht="17.25" thickBot="1">
      <c r="A172" s="131" t="s">
        <v>301</v>
      </c>
      <c r="B172" s="308">
        <f>$B$37</f>
        <v>150000</v>
      </c>
      <c r="C172" s="309"/>
      <c r="D172" s="26" t="s">
        <v>302</v>
      </c>
      <c r="E172" s="27">
        <f>IF(COUNT(E152:E171), SUM(E152:E171) / COUNT(E152:E171), 0)</f>
        <v>1.7069667075047916E-2</v>
      </c>
      <c r="F172" s="28">
        <f>SUM(F152:F171)</f>
        <v>51209.001225143751</v>
      </c>
      <c r="G172" s="26" t="s">
        <v>302</v>
      </c>
      <c r="H172" s="27">
        <f>IF(COUNT(H152:H171), SUM(H152:H171) / COUNT(H152:H171), 0)</f>
        <v>1.300103497259641E-2</v>
      </c>
      <c r="I172" s="28">
        <f>SUM(I152:I171)</f>
        <v>39003.104917789227</v>
      </c>
      <c r="J172" s="26" t="s">
        <v>302</v>
      </c>
      <c r="K172" s="27">
        <f>IF(COUNT(K152:K171), SUM(K152:K171) / COUNT(K152:K171), 0)</f>
        <v>9.9693438599300147E-3</v>
      </c>
      <c r="L172" s="28">
        <f>SUM(L152:L171)</f>
        <v>29908.031579790048</v>
      </c>
      <c r="M172" s="26" t="s">
        <v>302</v>
      </c>
      <c r="N172" s="27">
        <f>IF(COUNT(N152:N171), SUM(N152:N171) / COUNT(N152:N171), 0)</f>
        <v>2.6521133136307622E-3</v>
      </c>
      <c r="O172" s="28">
        <f>SUM(O152:O171)</f>
        <v>7956.3399408922869</v>
      </c>
      <c r="Q172" s="303"/>
      <c r="R172" s="304"/>
      <c r="S172" s="305"/>
    </row>
    <row r="174" spans="1:19" ht="17.25" thickBot="1"/>
    <row r="175" spans="1:19" ht="17.25" thickBot="1">
      <c r="A175" s="249" t="s">
        <v>285</v>
      </c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50"/>
      <c r="M175" s="250"/>
      <c r="N175" s="250"/>
      <c r="O175" s="251"/>
      <c r="Q175" s="270"/>
      <c r="R175" s="270"/>
      <c r="S175" s="270"/>
    </row>
    <row r="176" spans="1:19" ht="17.25" thickBot="1">
      <c r="A176" s="159" t="s">
        <v>298</v>
      </c>
      <c r="B176" s="249" t="s">
        <v>49</v>
      </c>
      <c r="C176" s="251"/>
      <c r="D176" s="249" t="s">
        <v>58</v>
      </c>
      <c r="E176" s="250"/>
      <c r="F176" s="251"/>
      <c r="G176" s="276">
        <f>_xlfn.IFNA(VLOOKUP(B176, 현재가테이블!$B$2:$D$200, 2, FALSE), "-")</f>
        <v>60874000</v>
      </c>
      <c r="H176" s="277"/>
      <c r="I176" s="278"/>
      <c r="J176" s="249" t="s">
        <v>59</v>
      </c>
      <c r="K176" s="250"/>
      <c r="L176" s="251"/>
      <c r="M176" s="279">
        <f>_xlfn.IFNA(VLOOKUP(B176, 현재가테이블!$B$2:$D$200, 3, FALSE), "-")</f>
        <v>-1.4936000099999999E-2</v>
      </c>
      <c r="N176" s="280"/>
      <c r="O176" s="281"/>
      <c r="Q176" s="270"/>
      <c r="R176" s="270"/>
      <c r="S176" s="270"/>
    </row>
    <row r="177" spans="1:19" ht="17.25" thickBot="1">
      <c r="A177" s="310" t="s">
        <v>55</v>
      </c>
      <c r="B177" s="312" t="str">
        <f>TEXT($G$1, "[$-ko-KR]yyyy-mm-dd(ddd) ") &amp; "오전 00:00"</f>
        <v>2021-05-06(목) 오전 00:00</v>
      </c>
      <c r="C177" s="313"/>
      <c r="D177" s="272" t="str">
        <f>TEXT($G$1, "[$-ko-KR]yyyy-mm-dd(ddd) ") &amp; "오후 14:00"</f>
        <v>2021-05-06(목) 오후 14:00</v>
      </c>
      <c r="E177" s="273"/>
      <c r="F177" s="274"/>
      <c r="G177" s="272" t="str">
        <f>TEXT($G$1, "[$-ko-KR]yyyy-mm-dd(ddd) ") &amp; "오후 19:00"</f>
        <v>2021-05-06(목) 오후 19:00</v>
      </c>
      <c r="H177" s="273"/>
      <c r="I177" s="274"/>
      <c r="J177" s="272" t="str">
        <f>TEXT($G$1, "[$-ko-KR]yyyy-mm-dd(ddd) ") &amp; "오후 21:00"</f>
        <v>2021-05-06(목) 오후 21:00</v>
      </c>
      <c r="K177" s="273"/>
      <c r="L177" s="274"/>
      <c r="M177" s="272" t="str">
        <f>TEXT($G$1+1, "[$-ko-KR]yyyy-mm-dd(ddd) ") &amp; "오전 00:00"</f>
        <v>2021-05-07(금) 오전 00:00</v>
      </c>
      <c r="N177" s="273"/>
      <c r="O177" s="274"/>
      <c r="Q177" s="270"/>
      <c r="R177" s="270"/>
      <c r="S177" s="270"/>
    </row>
    <row r="178" spans="1:19" ht="17.25" thickBot="1">
      <c r="A178" s="311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0" t="s">
        <v>58</v>
      </c>
      <c r="H178" s="161" t="s">
        <v>299</v>
      </c>
      <c r="I178" s="162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75"/>
      <c r="R178" s="275"/>
      <c r="S178" s="275"/>
    </row>
    <row r="179" spans="1:19" ht="17.25" thickBot="1">
      <c r="A179" s="122" t="s">
        <v>284</v>
      </c>
      <c r="B179" s="123">
        <v>441</v>
      </c>
      <c r="C179" s="72">
        <v>-0.02</v>
      </c>
      <c r="D179" s="13">
        <v>473</v>
      </c>
      <c r="E179" s="14">
        <f>IF(ISNUMBER(D179), (D179 - $B179) / $B179, "")</f>
        <v>7.2562358276643993E-2</v>
      </c>
      <c r="F179" s="16">
        <f>IF(ISNUMBER(D179), $B199 * E179, "")</f>
        <v>10884.353741496599</v>
      </c>
      <c r="G179" s="29">
        <v>470</v>
      </c>
      <c r="H179" s="14">
        <f>IF(ISNUMBER(G179), (G179 - $B179) / $B179, "")</f>
        <v>6.5759637188208611E-2</v>
      </c>
      <c r="I179" s="96">
        <f>IF(ISNUMBER(G179), $B199 * H179, "")</f>
        <v>9863.9455782312925</v>
      </c>
      <c r="J179" s="13">
        <v>469</v>
      </c>
      <c r="K179" s="14">
        <f>IF(ISNUMBER(J179), (J179 - $B179) / $B179, "")</f>
        <v>6.3492063492063489E-2</v>
      </c>
      <c r="L179" s="16">
        <f>IF(ISNUMBER(J179), $B199 * K179, "")</f>
        <v>9523.8095238095229</v>
      </c>
      <c r="M179" s="29">
        <v>471</v>
      </c>
      <c r="N179" s="14">
        <f>IF(ISNUMBER(M179), (M179 - $B179) / $B179, "")</f>
        <v>6.8027210884353748E-2</v>
      </c>
      <c r="O179" s="16">
        <f>IF(ISNUMBER(M179), $B199 * N179, "")</f>
        <v>10204.081632653062</v>
      </c>
      <c r="Q179" s="270"/>
      <c r="R179" s="270"/>
      <c r="S179" s="270"/>
    </row>
    <row r="180" spans="1:19" ht="17.25" thickBot="1">
      <c r="A180" s="124" t="s">
        <v>218</v>
      </c>
      <c r="B180" s="125">
        <v>28.8</v>
      </c>
      <c r="C180" s="73">
        <v>-2.0408163300000001E-2</v>
      </c>
      <c r="D180" s="15">
        <v>28.9</v>
      </c>
      <c r="E180" s="32">
        <f t="shared" ref="E180:E183" si="94">IF(ISNUMBER(D180), (D180 - $B180) / $B180, "")</f>
        <v>3.4722222222221483E-3</v>
      </c>
      <c r="F180" s="18">
        <f>IF(ISNUMBER(D180), $B199 * E180, "")</f>
        <v>520.83333333332223</v>
      </c>
      <c r="G180" s="31">
        <v>28.7</v>
      </c>
      <c r="H180" s="32">
        <f t="shared" ref="H180:H183" si="95">IF(ISNUMBER(G180), (G180 - $B180) / $B180, "")</f>
        <v>-3.4722222222222715E-3</v>
      </c>
      <c r="I180" s="97">
        <f>IF(ISNUMBER(G180), $B199 * H180, "")</f>
        <v>-520.83333333334076</v>
      </c>
      <c r="J180" s="15">
        <v>28.6</v>
      </c>
      <c r="K180" s="32">
        <f t="shared" ref="K180:K183" si="96">IF(ISNUMBER(J180), (J180 - $B180) / $B180, "")</f>
        <v>-6.9444444444444198E-3</v>
      </c>
      <c r="L180" s="18">
        <f>IF(ISNUMBER(J180), $B199 * K180, "")</f>
        <v>-1041.6666666666629</v>
      </c>
      <c r="M180" s="31">
        <v>28.5</v>
      </c>
      <c r="N180" s="32">
        <f t="shared" ref="N180:N183" si="97">IF(ISNUMBER(M180), (M180 - $B180) / $B180, "")</f>
        <v>-1.041666666666669E-2</v>
      </c>
      <c r="O180" s="18">
        <f>IF(ISNUMBER(M180), $B199 * N180, "")</f>
        <v>-1562.5000000000036</v>
      </c>
      <c r="Q180" s="270"/>
      <c r="R180" s="270"/>
      <c r="S180" s="270"/>
    </row>
    <row r="181" spans="1:19" ht="17.25" thickBot="1">
      <c r="A181" s="124" t="s">
        <v>240</v>
      </c>
      <c r="B181" s="125">
        <v>188</v>
      </c>
      <c r="C181" s="73">
        <v>-2.08333333E-2</v>
      </c>
      <c r="D181" s="15">
        <v>187</v>
      </c>
      <c r="E181" s="32">
        <f t="shared" si="94"/>
        <v>-5.3191489361702126E-3</v>
      </c>
      <c r="F181" s="18">
        <f>IF(ISNUMBER(D181), $B199 * E181, "")</f>
        <v>-797.87234042553189</v>
      </c>
      <c r="G181" s="31">
        <v>186</v>
      </c>
      <c r="H181" s="32">
        <f t="shared" si="95"/>
        <v>-1.0638297872340425E-2</v>
      </c>
      <c r="I181" s="97">
        <f>IF(ISNUMBER(G181), $B199 * H181, "")</f>
        <v>-1595.7446808510638</v>
      </c>
      <c r="J181" s="15">
        <v>187</v>
      </c>
      <c r="K181" s="32">
        <f t="shared" si="96"/>
        <v>-5.3191489361702126E-3</v>
      </c>
      <c r="L181" s="18">
        <f>IF(ISNUMBER(J181), $B199 * K181, "")</f>
        <v>-797.87234042553189</v>
      </c>
      <c r="M181" s="31">
        <v>185</v>
      </c>
      <c r="N181" s="32">
        <f t="shared" si="97"/>
        <v>-1.5957446808510637E-2</v>
      </c>
      <c r="O181" s="18">
        <f>IF(ISNUMBER(M181), $B199 * N181, "")</f>
        <v>-2393.6170212765956</v>
      </c>
      <c r="Q181" s="275"/>
      <c r="R181" s="275"/>
      <c r="S181" s="275"/>
    </row>
    <row r="182" spans="1:19" ht="17.25" thickBot="1">
      <c r="A182" s="124" t="s">
        <v>234</v>
      </c>
      <c r="B182" s="125">
        <v>1395</v>
      </c>
      <c r="C182" s="73">
        <v>-2.10526316E-2</v>
      </c>
      <c r="D182" s="15">
        <v>1390</v>
      </c>
      <c r="E182" s="32">
        <f t="shared" si="94"/>
        <v>-3.5842293906810036E-3</v>
      </c>
      <c r="F182" s="18">
        <f>IF(ISNUMBER(D182), $B199 * E182, "")</f>
        <v>-537.63440860215053</v>
      </c>
      <c r="G182" s="31">
        <v>1395</v>
      </c>
      <c r="H182" s="32">
        <f t="shared" si="95"/>
        <v>0</v>
      </c>
      <c r="I182" s="97">
        <f>IF(ISNUMBER(G182), $B199 * H182, "")</f>
        <v>0</v>
      </c>
      <c r="J182" s="15">
        <v>1385</v>
      </c>
      <c r="K182" s="32">
        <f t="shared" si="96"/>
        <v>-7.1684587813620072E-3</v>
      </c>
      <c r="L182" s="18">
        <f>IF(ISNUMBER(J182), $B199 * K182, "")</f>
        <v>-1075.2688172043011</v>
      </c>
      <c r="M182" s="31">
        <v>1375</v>
      </c>
      <c r="N182" s="32">
        <f t="shared" si="97"/>
        <v>-1.4336917562724014E-2</v>
      </c>
      <c r="O182" s="18">
        <f>IF(ISNUMBER(M182), $B199 * N182, "")</f>
        <v>-2150.5376344086021</v>
      </c>
      <c r="Q182" s="275"/>
      <c r="R182" s="275"/>
      <c r="S182" s="275"/>
    </row>
    <row r="183" spans="1:19" ht="17.25" thickBot="1">
      <c r="A183" s="126" t="s">
        <v>200</v>
      </c>
      <c r="B183" s="127">
        <v>371</v>
      </c>
      <c r="C183" s="74">
        <v>-2.11081794E-2</v>
      </c>
      <c r="D183" s="20">
        <v>374</v>
      </c>
      <c r="E183" s="21">
        <f t="shared" si="94"/>
        <v>8.0862533692722376E-3</v>
      </c>
      <c r="F183" s="22">
        <f>IF(ISNUMBER(D183), $B199 * E183, "")</f>
        <v>1212.9380053908355</v>
      </c>
      <c r="G183" s="30">
        <v>374</v>
      </c>
      <c r="H183" s="21">
        <f t="shared" si="95"/>
        <v>8.0862533692722376E-3</v>
      </c>
      <c r="I183" s="101">
        <f>IF(ISNUMBER(G183), $B199 * H183, "")</f>
        <v>1212.9380053908355</v>
      </c>
      <c r="J183" s="20">
        <v>372</v>
      </c>
      <c r="K183" s="21">
        <f t="shared" si="96"/>
        <v>2.6954177897574125E-3</v>
      </c>
      <c r="L183" s="22">
        <f>IF(ISNUMBER(J183), $B199 * K183, "")</f>
        <v>404.31266846361189</v>
      </c>
      <c r="M183" s="30">
        <v>370</v>
      </c>
      <c r="N183" s="21">
        <f t="shared" si="97"/>
        <v>-2.6954177897574125E-3</v>
      </c>
      <c r="O183" s="22">
        <f>IF(ISNUMBER(M183), $B199 * N183, "")</f>
        <v>-404.31266846361189</v>
      </c>
      <c r="Q183" s="275"/>
      <c r="R183" s="275"/>
      <c r="S183" s="275"/>
    </row>
    <row r="184" spans="1:19" ht="17.25" thickBot="1">
      <c r="A184" s="124" t="s">
        <v>230</v>
      </c>
      <c r="B184" s="128">
        <v>177</v>
      </c>
      <c r="C184" s="76">
        <v>-2.2099447500000001E-2</v>
      </c>
      <c r="D184" s="102">
        <v>177</v>
      </c>
      <c r="E184" s="103">
        <f>IF(ISNUMBER(D184), (D184 - $B184) / $B184, "")</f>
        <v>0</v>
      </c>
      <c r="F184" s="104">
        <f>IF(ISNUMBER(D184), $B199 * E184, "")</f>
        <v>0</v>
      </c>
      <c r="G184" s="105">
        <v>176</v>
      </c>
      <c r="H184" s="103">
        <f>IF(ISNUMBER(G184), (G184 - $B184) / $B184, "")</f>
        <v>-5.6497175141242938E-3</v>
      </c>
      <c r="I184" s="106">
        <f>IF(ISNUMBER(G184), $B199 * H184, "")</f>
        <v>-847.45762711864404</v>
      </c>
      <c r="J184" s="102">
        <v>175</v>
      </c>
      <c r="K184" s="103">
        <f>IF(ISNUMBER(J184), (J184 - $B184) / $B184, "")</f>
        <v>-1.1299435028248588E-2</v>
      </c>
      <c r="L184" s="104">
        <f>IF(ISNUMBER(J184), $B199 * K184, "")</f>
        <v>-1694.9152542372881</v>
      </c>
      <c r="M184" s="105">
        <v>173</v>
      </c>
      <c r="N184" s="103">
        <f>IF(ISNUMBER(M184), (M184 - $B184) / $B184, "")</f>
        <v>-2.2598870056497175E-2</v>
      </c>
      <c r="O184" s="104">
        <f>IF(ISNUMBER(M184), $B199 * N184, "")</f>
        <v>-3389.8305084745762</v>
      </c>
      <c r="Q184" s="275"/>
      <c r="R184" s="275"/>
      <c r="S184" s="275"/>
    </row>
    <row r="185" spans="1:19" ht="17.25" thickBot="1">
      <c r="A185" s="124" t="s">
        <v>232</v>
      </c>
      <c r="B185" s="125">
        <v>173</v>
      </c>
      <c r="C185" s="73">
        <v>-2.2598870100000001E-2</v>
      </c>
      <c r="D185" s="15">
        <v>176</v>
      </c>
      <c r="E185" s="32">
        <f t="shared" ref="E185:E188" si="98">IF(ISNUMBER(D185), (D185 - $B185) / $B185, "")</f>
        <v>1.7341040462427744E-2</v>
      </c>
      <c r="F185" s="18">
        <f>IF(ISNUMBER(D185), $B199 * E185, "")</f>
        <v>2601.1560693641618</v>
      </c>
      <c r="G185" s="31">
        <v>175</v>
      </c>
      <c r="H185" s="32">
        <f t="shared" ref="H185:H188" si="99">IF(ISNUMBER(G185), (G185 - $B185) / $B185, "")</f>
        <v>1.1560693641618497E-2</v>
      </c>
      <c r="I185" s="97">
        <f>IF(ISNUMBER(G185), $B199 * H185, "")</f>
        <v>1734.1040462427745</v>
      </c>
      <c r="J185" s="15">
        <v>175</v>
      </c>
      <c r="K185" s="32">
        <f t="shared" ref="K185:K188" si="100">IF(ISNUMBER(J185), (J185 - $B185) / $B185, "")</f>
        <v>1.1560693641618497E-2</v>
      </c>
      <c r="L185" s="18">
        <f>IF(ISNUMBER(J185), $B199 * K185, "")</f>
        <v>1734.1040462427745</v>
      </c>
      <c r="M185" s="31">
        <v>173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75"/>
      <c r="R185" s="275"/>
      <c r="S185" s="275"/>
    </row>
    <row r="186" spans="1:19" ht="17.25" thickBot="1">
      <c r="A186" s="124" t="s">
        <v>260</v>
      </c>
      <c r="B186" s="125">
        <v>122</v>
      </c>
      <c r="C186" s="73">
        <v>-2.4E-2</v>
      </c>
      <c r="D186" s="15">
        <v>123</v>
      </c>
      <c r="E186" s="32">
        <f t="shared" si="98"/>
        <v>8.1967213114754103E-3</v>
      </c>
      <c r="F186" s="18">
        <f>IF(ISNUMBER(D186), $B199 * E186, "")</f>
        <v>1229.5081967213116</v>
      </c>
      <c r="G186" s="31">
        <v>123</v>
      </c>
      <c r="H186" s="32">
        <f t="shared" si="99"/>
        <v>8.1967213114754103E-3</v>
      </c>
      <c r="I186" s="97">
        <f>IF(ISNUMBER(G186), $B199 * H186, "")</f>
        <v>1229.5081967213116</v>
      </c>
      <c r="J186" s="15">
        <v>122</v>
      </c>
      <c r="K186" s="32">
        <f t="shared" si="100"/>
        <v>0</v>
      </c>
      <c r="L186" s="18">
        <f>IF(ISNUMBER(J186), $B199 * K186, "")</f>
        <v>0</v>
      </c>
      <c r="M186" s="31">
        <v>123</v>
      </c>
      <c r="N186" s="32">
        <f t="shared" si="101"/>
        <v>8.1967213114754103E-3</v>
      </c>
      <c r="O186" s="18">
        <f>IF(ISNUMBER(M186), $B199 * N186, "")</f>
        <v>1229.5081967213116</v>
      </c>
      <c r="Q186" s="275"/>
      <c r="R186" s="275"/>
      <c r="S186" s="275"/>
    </row>
    <row r="187" spans="1:19" ht="17.25" thickBot="1">
      <c r="A187" s="124" t="s">
        <v>224</v>
      </c>
      <c r="B187" s="125">
        <v>2015</v>
      </c>
      <c r="C187" s="73">
        <v>-2.4213075099999998E-2</v>
      </c>
      <c r="D187" s="15">
        <v>2130</v>
      </c>
      <c r="E187" s="32">
        <f t="shared" si="98"/>
        <v>5.7071960297766747E-2</v>
      </c>
      <c r="F187" s="18">
        <f>IF(ISNUMBER(D187), $B199 * E187, "")</f>
        <v>8560.7940446650118</v>
      </c>
      <c r="G187" s="31">
        <v>2120</v>
      </c>
      <c r="H187" s="32">
        <f t="shared" si="99"/>
        <v>5.2109181141439205E-2</v>
      </c>
      <c r="I187" s="97">
        <f>IF(ISNUMBER(G187), $B199 * H187, "")</f>
        <v>7816.3771712158805</v>
      </c>
      <c r="J187" s="15">
        <v>2110</v>
      </c>
      <c r="K187" s="32">
        <f t="shared" si="100"/>
        <v>4.7146401985111663E-2</v>
      </c>
      <c r="L187" s="18">
        <f>IF(ISNUMBER(J187), $B199 * K187, "")</f>
        <v>7071.9602977667491</v>
      </c>
      <c r="M187" s="31">
        <v>2095</v>
      </c>
      <c r="N187" s="32">
        <f t="shared" si="101"/>
        <v>3.9702233250620347E-2</v>
      </c>
      <c r="O187" s="18">
        <f>IF(ISNUMBER(M187), $B199 * N187, "")</f>
        <v>5955.3349875930517</v>
      </c>
      <c r="Q187" s="33"/>
      <c r="R187" s="33"/>
    </row>
    <row r="188" spans="1:19" ht="17.25" thickBot="1">
      <c r="A188" s="129" t="s">
        <v>122</v>
      </c>
      <c r="B188" s="130">
        <v>116</v>
      </c>
      <c r="C188" s="75">
        <v>-2.5210084000000001E-2</v>
      </c>
      <c r="D188" s="24">
        <v>119</v>
      </c>
      <c r="E188" s="25">
        <f t="shared" si="98"/>
        <v>2.5862068965517241E-2</v>
      </c>
      <c r="F188" s="100">
        <f>IF(ISNUMBER(D188), $B199 * E188, "")</f>
        <v>3879.3103448275861</v>
      </c>
      <c r="G188" s="98">
        <v>119</v>
      </c>
      <c r="H188" s="25">
        <f t="shared" si="99"/>
        <v>2.5862068965517241E-2</v>
      </c>
      <c r="I188" s="99">
        <f>IF(ISNUMBER(G188), $B199 * H188, "")</f>
        <v>3879.3103448275861</v>
      </c>
      <c r="J188" s="24">
        <v>119</v>
      </c>
      <c r="K188" s="25">
        <f t="shared" si="100"/>
        <v>2.5862068965517241E-2</v>
      </c>
      <c r="L188" s="100">
        <f>IF(ISNUMBER(J188), $B199 * K188, "")</f>
        <v>3879.3103448275861</v>
      </c>
      <c r="M188" s="98">
        <v>117</v>
      </c>
      <c r="N188" s="25">
        <f t="shared" si="101"/>
        <v>8.6206896551724137E-3</v>
      </c>
      <c r="O188" s="100">
        <f>IF(ISNUMBER(M188), $B199 * N188, "")</f>
        <v>1293.1034482758621</v>
      </c>
      <c r="Q188" s="284"/>
      <c r="R188" s="285"/>
      <c r="S188" s="286"/>
    </row>
    <row r="189" spans="1:19">
      <c r="A189" s="122" t="s">
        <v>82</v>
      </c>
      <c r="B189" s="123">
        <v>1530</v>
      </c>
      <c r="C189" s="72">
        <v>-2.5477706999999999E-2</v>
      </c>
      <c r="D189" s="13">
        <v>1570</v>
      </c>
      <c r="E189" s="14">
        <f>IF(ISNUMBER(D189), (D189 - $B189) / $B189, "")</f>
        <v>2.6143790849673203E-2</v>
      </c>
      <c r="F189" s="16">
        <f>IF(ISNUMBER(D189), $B199 * E189, "")</f>
        <v>3921.5686274509803</v>
      </c>
      <c r="G189" s="29">
        <v>1595</v>
      </c>
      <c r="H189" s="14">
        <f>IF(ISNUMBER(G189), (G189 - $B189) / $B189, "")</f>
        <v>4.2483660130718956E-2</v>
      </c>
      <c r="I189" s="96">
        <f>IF(ISNUMBER(G189), $B199 * H189, "")</f>
        <v>6372.5490196078435</v>
      </c>
      <c r="J189" s="13">
        <v>1590</v>
      </c>
      <c r="K189" s="14">
        <f>IF(ISNUMBER(J189), (J189 - $B189) / $B189, "")</f>
        <v>3.9215686274509803E-2</v>
      </c>
      <c r="L189" s="16">
        <f>IF(ISNUMBER(J189), $B199 * K189, "")</f>
        <v>5882.3529411764703</v>
      </c>
      <c r="M189" s="29">
        <v>1560</v>
      </c>
      <c r="N189" s="14">
        <f>IF(ISNUMBER(M189), (M189 - $B189) / $B189, "")</f>
        <v>1.9607843137254902E-2</v>
      </c>
      <c r="O189" s="16">
        <f>IF(ISNUMBER(M189), $B199 * N189, "")</f>
        <v>2941.1764705882351</v>
      </c>
      <c r="Q189" s="287"/>
      <c r="R189" s="288"/>
      <c r="S189" s="289"/>
    </row>
    <row r="190" spans="1:19" ht="17.25" thickBot="1">
      <c r="A190" s="124" t="s">
        <v>124</v>
      </c>
      <c r="B190" s="125">
        <v>6935</v>
      </c>
      <c r="C190" s="73">
        <v>-2.7349228600000001E-2</v>
      </c>
      <c r="D190" s="15">
        <v>6990</v>
      </c>
      <c r="E190" s="32">
        <f t="shared" ref="E190:E193" si="102">IF(ISNUMBER(D190), (D190 - $B190) / $B190, "")</f>
        <v>7.9307858687815425E-3</v>
      </c>
      <c r="F190" s="18">
        <f>IF(ISNUMBER(D190), $B199 * E190, "")</f>
        <v>1189.6178803172313</v>
      </c>
      <c r="G190" s="31">
        <v>6960</v>
      </c>
      <c r="H190" s="32">
        <f t="shared" ref="H190:H193" si="103">IF(ISNUMBER(G190), (G190 - $B190) / $B190, "")</f>
        <v>3.6049026676279738E-3</v>
      </c>
      <c r="I190" s="97">
        <f>IF(ISNUMBER(G190), $B199 * H190, "")</f>
        <v>540.73540014419609</v>
      </c>
      <c r="J190" s="15">
        <v>6930</v>
      </c>
      <c r="K190" s="32">
        <f t="shared" ref="K190:K193" si="104">IF(ISNUMBER(J190), (J190 - $B190) / $B190, "")</f>
        <v>-7.2098053352559477E-4</v>
      </c>
      <c r="L190" s="18">
        <f>IF(ISNUMBER(J190), $B199 * K190, "")</f>
        <v>-108.14708002883921</v>
      </c>
      <c r="M190" s="31">
        <v>6885</v>
      </c>
      <c r="N190" s="32">
        <f t="shared" ref="N190:N193" si="105">IF(ISNUMBER(M190), (M190 - $B190) / $B190, "")</f>
        <v>-7.2098053352559477E-3</v>
      </c>
      <c r="O190" s="18">
        <f>IF(ISNUMBER(M190), $B199 * N190, "")</f>
        <v>-1081.4708002883922</v>
      </c>
      <c r="Q190" s="290"/>
      <c r="R190" s="291"/>
      <c r="S190" s="292"/>
    </row>
    <row r="191" spans="1:19" ht="17.25" thickBot="1">
      <c r="A191" s="124" t="s">
        <v>258</v>
      </c>
      <c r="B191" s="125">
        <v>720</v>
      </c>
      <c r="C191" s="73">
        <v>-2.8340081E-2</v>
      </c>
      <c r="D191" s="15">
        <v>717</v>
      </c>
      <c r="E191" s="32">
        <f t="shared" si="102"/>
        <v>-4.1666666666666666E-3</v>
      </c>
      <c r="F191" s="18">
        <f>IF(ISNUMBER(D191), $B199 * E191, "")</f>
        <v>-625</v>
      </c>
      <c r="G191" s="31">
        <v>709</v>
      </c>
      <c r="H191" s="32">
        <f t="shared" si="103"/>
        <v>-1.5277777777777777E-2</v>
      </c>
      <c r="I191" s="97">
        <f>IF(ISNUMBER(G191), $B199 * H191, "")</f>
        <v>-2291.6666666666665</v>
      </c>
      <c r="J191" s="15">
        <v>710</v>
      </c>
      <c r="K191" s="32">
        <f t="shared" si="104"/>
        <v>-1.3888888888888888E-2</v>
      </c>
      <c r="L191" s="18">
        <f>IF(ISNUMBER(J191), $B199 * K191, "")</f>
        <v>-2083.333333333333</v>
      </c>
      <c r="M191" s="31">
        <v>702</v>
      </c>
      <c r="N191" s="32">
        <f t="shared" si="105"/>
        <v>-2.5000000000000001E-2</v>
      </c>
      <c r="O191" s="18">
        <f>IF(ISNUMBER(M191), $B199 * N191, "")</f>
        <v>-3750</v>
      </c>
      <c r="Q191" s="275"/>
      <c r="R191" s="275"/>
      <c r="S191" s="275"/>
    </row>
    <row r="192" spans="1:19" ht="17.25" thickBot="1">
      <c r="A192" s="124" t="s">
        <v>252</v>
      </c>
      <c r="B192" s="125">
        <v>544</v>
      </c>
      <c r="C192" s="73">
        <v>-2.85714286E-2</v>
      </c>
      <c r="D192" s="15">
        <v>559</v>
      </c>
      <c r="E192" s="32">
        <f t="shared" si="102"/>
        <v>2.7573529411764705E-2</v>
      </c>
      <c r="F192" s="18">
        <f>IF(ISNUMBER(D192), $B199 * E192, "")</f>
        <v>4136.0294117647054</v>
      </c>
      <c r="G192" s="31">
        <v>555</v>
      </c>
      <c r="H192" s="32">
        <f t="shared" si="103"/>
        <v>2.0220588235294119E-2</v>
      </c>
      <c r="I192" s="97">
        <f>IF(ISNUMBER(G192), $B199 * H192, "")</f>
        <v>3033.088235294118</v>
      </c>
      <c r="J192" s="15">
        <v>560</v>
      </c>
      <c r="K192" s="32">
        <f t="shared" si="104"/>
        <v>2.9411764705882353E-2</v>
      </c>
      <c r="L192" s="18">
        <f>IF(ISNUMBER(J192), $B199 * K192, "")</f>
        <v>4411.7647058823532</v>
      </c>
      <c r="M192" s="31">
        <v>557</v>
      </c>
      <c r="N192" s="32">
        <f t="shared" si="105"/>
        <v>2.389705882352941E-2</v>
      </c>
      <c r="O192" s="18">
        <f>IF(ISNUMBER(M192), $B199 * N192, "")</f>
        <v>3584.5588235294117</v>
      </c>
      <c r="Q192" s="270"/>
      <c r="R192" s="270"/>
      <c r="S192" s="270"/>
    </row>
    <row r="193" spans="1:19" ht="17.25" thickBot="1">
      <c r="A193" s="126" t="s">
        <v>206</v>
      </c>
      <c r="B193" s="127">
        <v>39480</v>
      </c>
      <c r="C193" s="74">
        <v>-2.9737036099999999E-2</v>
      </c>
      <c r="D193" s="20">
        <v>38860</v>
      </c>
      <c r="E193" s="21">
        <f t="shared" si="102"/>
        <v>-1.5704154002026342E-2</v>
      </c>
      <c r="F193" s="22">
        <f>IF(ISNUMBER(D193), $B199 * E193, "")</f>
        <v>-2355.6231003039516</v>
      </c>
      <c r="G193" s="30">
        <v>38630</v>
      </c>
      <c r="H193" s="21">
        <f t="shared" si="103"/>
        <v>-2.1529888551165145E-2</v>
      </c>
      <c r="I193" s="101">
        <f>IF(ISNUMBER(G193), $B199 * H193, "")</f>
        <v>-3229.483282674772</v>
      </c>
      <c r="J193" s="20">
        <v>38400</v>
      </c>
      <c r="K193" s="21">
        <f t="shared" si="104"/>
        <v>-2.7355623100303952E-2</v>
      </c>
      <c r="L193" s="22">
        <f>IF(ISNUMBER(J193), $B199 * K193, "")</f>
        <v>-4103.3434650455929</v>
      </c>
      <c r="M193" s="30">
        <v>37580</v>
      </c>
      <c r="N193" s="21">
        <f t="shared" si="105"/>
        <v>-4.8125633232016213E-2</v>
      </c>
      <c r="O193" s="22">
        <f>IF(ISNUMBER(M193), $B199 * N193, "")</f>
        <v>-7218.844984802432</v>
      </c>
      <c r="Q193" s="270"/>
      <c r="R193" s="270"/>
      <c r="S193" s="270"/>
    </row>
    <row r="194" spans="1:19" ht="17.25" thickBot="1">
      <c r="A194" s="124" t="s">
        <v>194</v>
      </c>
      <c r="B194" s="128">
        <v>14260</v>
      </c>
      <c r="C194" s="76">
        <v>-3.0591434399999999E-2</v>
      </c>
      <c r="D194" s="102">
        <v>14350</v>
      </c>
      <c r="E194" s="103">
        <f>IF(ISNUMBER(D194), (D194 - $B194) / $B194, "")</f>
        <v>6.311360448807854E-3</v>
      </c>
      <c r="F194" s="104">
        <f>IF(ISNUMBER(D194), $B199 * E194, "")</f>
        <v>946.70406732117806</v>
      </c>
      <c r="G194" s="105">
        <v>14380</v>
      </c>
      <c r="H194" s="103">
        <f>IF(ISNUMBER(G194), (G194 - $B194) / $B194, "")</f>
        <v>8.4151472650771386E-3</v>
      </c>
      <c r="I194" s="106">
        <f>IF(ISNUMBER(G194), $B199 * H194, "")</f>
        <v>1262.2720897615709</v>
      </c>
      <c r="J194" s="102">
        <v>14350</v>
      </c>
      <c r="K194" s="103">
        <f>IF(ISNUMBER(J194), (J194 - $B194) / $B194, "")</f>
        <v>6.311360448807854E-3</v>
      </c>
      <c r="L194" s="104">
        <f>IF(ISNUMBER(J194), $B199 * K194, "")</f>
        <v>946.70406732117806</v>
      </c>
      <c r="M194" s="105">
        <v>14160</v>
      </c>
      <c r="N194" s="103">
        <f>IF(ISNUMBER(M194), (M194 - $B194) / $B194, "")</f>
        <v>-7.0126227208976155E-3</v>
      </c>
      <c r="O194" s="104">
        <f>IF(ISNUMBER(M194), $B199 * N194, "")</f>
        <v>-1051.8934081346424</v>
      </c>
      <c r="Q194" s="275"/>
      <c r="R194" s="275"/>
      <c r="S194" s="275"/>
    </row>
    <row r="195" spans="1:19" ht="17.25" thickBot="1">
      <c r="A195" s="124" t="s">
        <v>67</v>
      </c>
      <c r="B195" s="125">
        <v>8815</v>
      </c>
      <c r="C195" s="73">
        <v>-3.8713195200000002E-2</v>
      </c>
      <c r="D195" s="15">
        <v>8770</v>
      </c>
      <c r="E195" s="32">
        <f t="shared" ref="E195:E198" si="106">IF(ISNUMBER(D195), (D195 - $B195) / $B195, "")</f>
        <v>-5.1049347702779354E-3</v>
      </c>
      <c r="F195" s="18">
        <f>IF(ISNUMBER(D195), $B199 * E195, "")</f>
        <v>-765.7402155416903</v>
      </c>
      <c r="G195" s="31">
        <v>8690</v>
      </c>
      <c r="H195" s="32">
        <f t="shared" ref="H195:H198" si="107">IF(ISNUMBER(G195), (G195 - $B195) / $B195, "")</f>
        <v>-1.4180374361883154E-2</v>
      </c>
      <c r="I195" s="97">
        <f>IF(ISNUMBER(G195), $B199 * H195, "")</f>
        <v>-2127.056154282473</v>
      </c>
      <c r="J195" s="15">
        <v>8660</v>
      </c>
      <c r="K195" s="32">
        <f t="shared" ref="K195:K198" si="108">IF(ISNUMBER(J195), (J195 - $B195) / $B195, "")</f>
        <v>-1.7583664208735111E-2</v>
      </c>
      <c r="L195" s="18">
        <f>IF(ISNUMBER(J195), $B199 * K195, "")</f>
        <v>-2637.5496313102667</v>
      </c>
      <c r="M195" s="31">
        <v>8565</v>
      </c>
      <c r="N195" s="32">
        <f t="shared" ref="N195:N198" si="109">IF(ISNUMBER(M195), (M195 - $B195) / $B195, "")</f>
        <v>-2.8360748723766309E-2</v>
      </c>
      <c r="O195" s="18">
        <f>IF(ISNUMBER(M195), $B199 * N195, "")</f>
        <v>-4254.112308564946</v>
      </c>
      <c r="Q195" s="275"/>
      <c r="R195" s="275"/>
      <c r="S195" s="275"/>
    </row>
    <row r="196" spans="1:19" ht="17.25" thickBot="1">
      <c r="A196" s="124" t="s">
        <v>164</v>
      </c>
      <c r="B196" s="125">
        <v>42510</v>
      </c>
      <c r="C196" s="73">
        <v>-3.9539087200000003E-2</v>
      </c>
      <c r="D196" s="15">
        <v>41510</v>
      </c>
      <c r="E196" s="32">
        <f t="shared" si="106"/>
        <v>-2.3523876734885908E-2</v>
      </c>
      <c r="F196" s="18">
        <f>IF(ISNUMBER(D196), $B199 * E196, "")</f>
        <v>-3528.5815102328861</v>
      </c>
      <c r="G196" s="31">
        <v>42610</v>
      </c>
      <c r="H196" s="32">
        <f t="shared" si="107"/>
        <v>2.3523876734885909E-3</v>
      </c>
      <c r="I196" s="97">
        <f>IF(ISNUMBER(G196), $B199 * H196, "")</f>
        <v>352.85815102328866</v>
      </c>
      <c r="J196" s="15">
        <v>46950</v>
      </c>
      <c r="K196" s="32">
        <f t="shared" si="108"/>
        <v>0.10444601270289344</v>
      </c>
      <c r="L196" s="18">
        <f>IF(ISNUMBER(J196), $B199 * K196, "")</f>
        <v>15666.901905434017</v>
      </c>
      <c r="M196" s="31">
        <v>43850</v>
      </c>
      <c r="N196" s="32">
        <f t="shared" si="109"/>
        <v>3.1521994824747115E-2</v>
      </c>
      <c r="O196" s="18">
        <f>IF(ISNUMBER(M196), $B199 * N196, "")</f>
        <v>4728.299223712067</v>
      </c>
      <c r="Q196" s="275"/>
      <c r="R196" s="275"/>
      <c r="S196" s="275"/>
    </row>
    <row r="197" spans="1:19">
      <c r="A197" s="124" t="s">
        <v>204</v>
      </c>
      <c r="B197" s="125">
        <v>8795</v>
      </c>
      <c r="C197" s="73">
        <v>-3.98471616E-2</v>
      </c>
      <c r="D197" s="15">
        <v>8745</v>
      </c>
      <c r="E197" s="32">
        <f t="shared" si="106"/>
        <v>-5.6850483229107449E-3</v>
      </c>
      <c r="F197" s="18">
        <f>IF(ISNUMBER(D197), $B199 * E197, "")</f>
        <v>-852.75724843661169</v>
      </c>
      <c r="G197" s="31">
        <v>8660</v>
      </c>
      <c r="H197" s="32">
        <f t="shared" si="107"/>
        <v>-1.5349630471859011E-2</v>
      </c>
      <c r="I197" s="97">
        <f>IF(ISNUMBER(G197), $B199 * H197, "")</f>
        <v>-2302.4445707788518</v>
      </c>
      <c r="J197" s="15">
        <v>8680</v>
      </c>
      <c r="K197" s="32">
        <f t="shared" si="108"/>
        <v>-1.3075611142694713E-2</v>
      </c>
      <c r="L197" s="18">
        <f>IF(ISNUMBER(J197), $B199 * K197, "")</f>
        <v>-1961.3416714042069</v>
      </c>
      <c r="M197" s="31">
        <v>8555</v>
      </c>
      <c r="N197" s="32">
        <f t="shared" si="109"/>
        <v>-2.7288231949971573E-2</v>
      </c>
      <c r="O197" s="18">
        <f>IF(ISNUMBER(M197), $B199 * N197, "")</f>
        <v>-4093.2347924957362</v>
      </c>
      <c r="Q197" s="297"/>
      <c r="R197" s="298"/>
      <c r="S197" s="299"/>
    </row>
    <row r="198" spans="1:19" ht="17.25" thickBot="1">
      <c r="A198" s="129" t="s">
        <v>276</v>
      </c>
      <c r="B198" s="130">
        <v>4540</v>
      </c>
      <c r="C198" s="75">
        <v>-4.4210526299999997E-2</v>
      </c>
      <c r="D198" s="24">
        <v>4640</v>
      </c>
      <c r="E198" s="25">
        <f t="shared" si="106"/>
        <v>2.2026431718061675E-2</v>
      </c>
      <c r="F198" s="100">
        <f>IF(ISNUMBER(D198), $B199 * E198, "")</f>
        <v>3303.9647577092514</v>
      </c>
      <c r="G198" s="98">
        <v>4685</v>
      </c>
      <c r="H198" s="25">
        <f t="shared" si="107"/>
        <v>3.1938325991189426E-2</v>
      </c>
      <c r="I198" s="99">
        <f>IF(ISNUMBER(G198), $B199 * H198, "")</f>
        <v>4790.7488986784138</v>
      </c>
      <c r="J198" s="24">
        <v>4640</v>
      </c>
      <c r="K198" s="25">
        <f t="shared" si="108"/>
        <v>2.2026431718061675E-2</v>
      </c>
      <c r="L198" s="100">
        <f>IF(ISNUMBER(J198), $B199 * K198, "")</f>
        <v>3303.9647577092514</v>
      </c>
      <c r="M198" s="98">
        <v>4615</v>
      </c>
      <c r="N198" s="25">
        <f t="shared" si="109"/>
        <v>1.6519823788546256E-2</v>
      </c>
      <c r="O198" s="100">
        <f>IF(ISNUMBER(M198), $B199 * N198, "")</f>
        <v>2477.9735682819382</v>
      </c>
      <c r="Q198" s="300"/>
      <c r="R198" s="301"/>
      <c r="S198" s="302"/>
    </row>
    <row r="199" spans="1:19" ht="17.25" thickBot="1">
      <c r="A199" s="131" t="s">
        <v>301</v>
      </c>
      <c r="B199" s="308">
        <f>$B$37</f>
        <v>150000</v>
      </c>
      <c r="C199" s="309"/>
      <c r="D199" s="26" t="s">
        <v>302</v>
      </c>
      <c r="E199" s="27">
        <f>IF(COUNT(E179:E198), SUM(E179:E198) / COUNT(E179:E198), 0)</f>
        <v>1.0974523218939785E-2</v>
      </c>
      <c r="F199" s="28">
        <f>SUM(F179:F198)</f>
        <v>32923.56965681936</v>
      </c>
      <c r="G199" s="26" t="s">
        <v>302</v>
      </c>
      <c r="H199" s="27">
        <f>IF(COUNT(H179:H198), SUM(H179:H198) / COUNT(H179:H198), 0)</f>
        <v>9.7245829404777676E-3</v>
      </c>
      <c r="I199" s="28">
        <f>SUM(I179:I198)</f>
        <v>29173.748821433299</v>
      </c>
      <c r="J199" s="26" t="s">
        <v>302</v>
      </c>
      <c r="K199" s="27">
        <f>IF(COUNT(K179:K198), SUM(K179:K198) / COUNT(K179:K198), 0)</f>
        <v>1.2440582332992497E-2</v>
      </c>
      <c r="L199" s="28">
        <f>SUM(L179:L198)</f>
        <v>37321.746998977498</v>
      </c>
      <c r="M199" s="26" t="s">
        <v>302</v>
      </c>
      <c r="N199" s="27">
        <f>IF(COUNT(N179:N198), SUM(N179:N198) / COUNT(N179:N198), 0)</f>
        <v>3.5456074148180057E-4</v>
      </c>
      <c r="O199" s="28">
        <f>SUM(O179:O198)</f>
        <v>1063.6822244454038</v>
      </c>
      <c r="Q199" s="303"/>
      <c r="R199" s="304"/>
      <c r="S199" s="30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9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59" priority="157">
      <formula>AND($N17 &gt; 0, ISNUMBER($N17))</formula>
    </cfRule>
    <cfRule type="expression" dxfId="1958" priority="158">
      <formula>AND($N17 = 0 * ISNUMBER($N17))</formula>
    </cfRule>
    <cfRule type="expression" dxfId="1957" priority="159">
      <formula>AND($N17 &lt; 0, ISNUMBER($N17))</formula>
    </cfRule>
  </conditionalFormatting>
  <conditionalFormatting sqref="A17:F36">
    <cfRule type="expression" dxfId="1956" priority="166">
      <formula>AND($E17 &gt; 0, ISNUMBER($E17))</formula>
    </cfRule>
    <cfRule type="expression" dxfId="1955" priority="167">
      <formula>AND($E17 = 0 * ISNUMBER($E17))</formula>
    </cfRule>
    <cfRule type="expression" dxfId="1954" priority="168">
      <formula>AND($E17 &lt; 0, ISNUMBER($E17))</formula>
    </cfRule>
  </conditionalFormatting>
  <conditionalFormatting sqref="A17:C36 G17:I36">
    <cfRule type="expression" dxfId="1953" priority="163">
      <formula>AND($H17 &gt; 0, ISNUMBER($H17))</formula>
    </cfRule>
    <cfRule type="expression" dxfId="1952" priority="164">
      <formula>AND($H17 = 0 * ISNUMBER($H17))</formula>
    </cfRule>
    <cfRule type="expression" dxfId="1951" priority="165">
      <formula>AND($H17 &lt; 0, ISNUMBER($H17))</formula>
    </cfRule>
  </conditionalFormatting>
  <conditionalFormatting sqref="A17:C36 J17:L36">
    <cfRule type="expression" dxfId="1950" priority="160">
      <formula>AND($K17 &gt; 0, ISNUMBER($K17))</formula>
    </cfRule>
    <cfRule type="expression" dxfId="1949" priority="161">
      <formula>AND($K17 = 0 * ISNUMBER($K17))</formula>
    </cfRule>
    <cfRule type="expression" dxfId="1948" priority="162">
      <formula>AND($K17 &lt; 0, ISNUMBER($K17))</formula>
    </cfRule>
  </conditionalFormatting>
  <conditionalFormatting sqref="D15:F16 E37:F37">
    <cfRule type="expression" dxfId="1947" priority="154">
      <formula>$E$37 &gt; 0</formula>
    </cfRule>
    <cfRule type="expression" dxfId="1946" priority="155">
      <formula>$E$37 = 0</formula>
    </cfRule>
    <cfRule type="expression" dxfId="1945" priority="156">
      <formula>$E$37 &lt; 0</formula>
    </cfRule>
  </conditionalFormatting>
  <conditionalFormatting sqref="G15:I16 H37:I37">
    <cfRule type="expression" dxfId="1944" priority="151">
      <formula>$H$37 &gt; 0</formula>
    </cfRule>
    <cfRule type="expression" dxfId="1943" priority="152">
      <formula>$H$37 = 0</formula>
    </cfRule>
    <cfRule type="expression" dxfId="1942" priority="153">
      <formula>$H$37 &lt; 0</formula>
    </cfRule>
  </conditionalFormatting>
  <conditionalFormatting sqref="J15:L16 K37:L37">
    <cfRule type="expression" dxfId="1941" priority="148">
      <formula>$K$37 &gt; 0</formula>
    </cfRule>
    <cfRule type="expression" dxfId="1940" priority="149">
      <formula>$K$37 = 0</formula>
    </cfRule>
    <cfRule type="expression" dxfId="1939" priority="150">
      <formula>$K$37 &lt; 0</formula>
    </cfRule>
  </conditionalFormatting>
  <conditionalFormatting sqref="M15:O16 N37:O37">
    <cfRule type="expression" dxfId="1938" priority="145">
      <formula>$N$37 &gt; 0</formula>
    </cfRule>
    <cfRule type="expression" dxfId="1937" priority="146">
      <formula>$N$37 = 0</formula>
    </cfRule>
    <cfRule type="expression" dxfId="1936" priority="147">
      <formula>$N$37 &lt; 0</formula>
    </cfRule>
  </conditionalFormatting>
  <conditionalFormatting sqref="A44:C63 M44:O63">
    <cfRule type="expression" dxfId="1935" priority="133">
      <formula>AND($N44 &gt; 0, ISNUMBER($N44))</formula>
    </cfRule>
    <cfRule type="expression" dxfId="1934" priority="134">
      <formula>AND($N44 = 0 * ISNUMBER($N44))</formula>
    </cfRule>
    <cfRule type="expression" dxfId="1933" priority="135">
      <formula>AND($N44 &lt; 0, ISNUMBER($N44))</formula>
    </cfRule>
  </conditionalFormatting>
  <conditionalFormatting sqref="A44:F63">
    <cfRule type="expression" dxfId="1932" priority="142">
      <formula>AND($E44 &gt; 0, ISNUMBER($E44))</formula>
    </cfRule>
    <cfRule type="expression" dxfId="1931" priority="143">
      <formula>AND($E44 = 0 * ISNUMBER($E44))</formula>
    </cfRule>
    <cfRule type="expression" dxfId="1930" priority="144">
      <formula>AND($E44 &lt; 0, ISNUMBER($E44))</formula>
    </cfRule>
  </conditionalFormatting>
  <conditionalFormatting sqref="A44:C63 G44:I63">
    <cfRule type="expression" dxfId="1929" priority="139">
      <formula>AND($H44 &gt; 0, ISNUMBER($H44))</formula>
    </cfRule>
    <cfRule type="expression" dxfId="1928" priority="140">
      <formula>AND($H44 = 0 * ISNUMBER($H44))</formula>
    </cfRule>
    <cfRule type="expression" dxfId="1927" priority="141">
      <formula>AND($H44 &lt; 0, ISNUMBER($H44))</formula>
    </cfRule>
  </conditionalFormatting>
  <conditionalFormatting sqref="A44:C63 J44:L63">
    <cfRule type="expression" dxfId="1926" priority="136">
      <formula>AND($K44 &gt; 0, ISNUMBER($K44))</formula>
    </cfRule>
    <cfRule type="expression" dxfId="1925" priority="137">
      <formula>AND($K44 = 0 * ISNUMBER($K44))</formula>
    </cfRule>
    <cfRule type="expression" dxfId="1924" priority="138">
      <formula>AND($K44 &lt; 0, ISNUMBER($K44))</formula>
    </cfRule>
  </conditionalFormatting>
  <conditionalFormatting sqref="D42:F43 E64:F64">
    <cfRule type="expression" dxfId="1923" priority="130">
      <formula>$E$64 &gt; 0</formula>
    </cfRule>
    <cfRule type="expression" dxfId="1922" priority="131">
      <formula>$E$64 = 0</formula>
    </cfRule>
    <cfRule type="expression" dxfId="1921" priority="132">
      <formula>$E$64 &lt; 0</formula>
    </cfRule>
  </conditionalFormatting>
  <conditionalFormatting sqref="G42:I43 H64:I64">
    <cfRule type="expression" dxfId="1920" priority="127">
      <formula>$H$64 &gt; 0</formula>
    </cfRule>
    <cfRule type="expression" dxfId="1919" priority="128">
      <formula>$H$64 = 0</formula>
    </cfRule>
    <cfRule type="expression" dxfId="1918" priority="129">
      <formula>$H$64 &lt; 0</formula>
    </cfRule>
  </conditionalFormatting>
  <conditionalFormatting sqref="J42:L43 K64:L64">
    <cfRule type="expression" dxfId="1917" priority="124">
      <formula>$K$64 &gt; 0</formula>
    </cfRule>
    <cfRule type="expression" dxfId="1916" priority="125">
      <formula>$K$64 = 0</formula>
    </cfRule>
    <cfRule type="expression" dxfId="1915" priority="126">
      <formula>$K$64 &lt; 0</formula>
    </cfRule>
  </conditionalFormatting>
  <conditionalFormatting sqref="M42:O43 N64:O64">
    <cfRule type="expression" dxfId="1914" priority="121">
      <formula>$N$64 &gt; 0</formula>
    </cfRule>
    <cfRule type="expression" dxfId="1913" priority="122">
      <formula>$N$64 = 0</formula>
    </cfRule>
    <cfRule type="expression" dxfId="1912" priority="123">
      <formula>$N$64 &lt; 0</formula>
    </cfRule>
  </conditionalFormatting>
  <conditionalFormatting sqref="A71:C90 M71:O90">
    <cfRule type="expression" dxfId="1911" priority="109">
      <formula>AND($N71 &gt; 0, ISNUMBER($N71))</formula>
    </cfRule>
    <cfRule type="expression" dxfId="1910" priority="110">
      <formula>AND($N71 = 0 * ISNUMBER($N71))</formula>
    </cfRule>
    <cfRule type="expression" dxfId="1909" priority="111">
      <formula>AND($N71 &lt; 0, ISNUMBER($N71))</formula>
    </cfRule>
  </conditionalFormatting>
  <conditionalFormatting sqref="A71:F90">
    <cfRule type="expression" dxfId="1908" priority="118">
      <formula>AND($E71 &gt; 0, ISNUMBER($E71))</formula>
    </cfRule>
    <cfRule type="expression" dxfId="1907" priority="119">
      <formula>AND($E71 = 0 * ISNUMBER($E71))</formula>
    </cfRule>
    <cfRule type="expression" dxfId="1906" priority="120">
      <formula>AND($E71 &lt; 0, ISNUMBER($E71))</formula>
    </cfRule>
  </conditionalFormatting>
  <conditionalFormatting sqref="A71:C90 G71:I90">
    <cfRule type="expression" dxfId="1905" priority="115">
      <formula>AND($H71 &gt; 0, ISNUMBER($H71))</formula>
    </cfRule>
    <cfRule type="expression" dxfId="1904" priority="116">
      <formula>AND($H71 = 0 * ISNUMBER($H71))</formula>
    </cfRule>
    <cfRule type="expression" dxfId="1903" priority="117">
      <formula>AND($H71 &lt; 0, ISNUMBER($H71))</formula>
    </cfRule>
  </conditionalFormatting>
  <conditionalFormatting sqref="A71:C90 J71:L90">
    <cfRule type="expression" dxfId="1902" priority="112">
      <formula>AND($K71 &gt; 0, ISNUMBER($K71))</formula>
    </cfRule>
    <cfRule type="expression" dxfId="1901" priority="113">
      <formula>AND($K71 = 0 * ISNUMBER($K71))</formula>
    </cfRule>
    <cfRule type="expression" dxfId="1900" priority="114">
      <formula>AND($K71 &lt; 0, ISNUMBER($K71))</formula>
    </cfRule>
  </conditionalFormatting>
  <conditionalFormatting sqref="D69:F70 E91:F91">
    <cfRule type="expression" dxfId="1899" priority="106">
      <formula>$E$91 &gt; 0</formula>
    </cfRule>
    <cfRule type="expression" dxfId="1898" priority="107">
      <formula>$E$91 = 0</formula>
    </cfRule>
    <cfRule type="expression" dxfId="1897" priority="108">
      <formula>$E$91 &lt; 0</formula>
    </cfRule>
  </conditionalFormatting>
  <conditionalFormatting sqref="G69:I70 H91:I91">
    <cfRule type="expression" dxfId="1896" priority="103">
      <formula>$H$91 &gt; 0</formula>
    </cfRule>
    <cfRule type="expression" dxfId="1895" priority="104">
      <formula>$H$91 = 0</formula>
    </cfRule>
    <cfRule type="expression" dxfId="1894" priority="105">
      <formula>$H$91 &lt; 0</formula>
    </cfRule>
  </conditionalFormatting>
  <conditionalFormatting sqref="J69:L70 K91:L91">
    <cfRule type="expression" dxfId="1893" priority="100">
      <formula>$K$91 &gt; 0</formula>
    </cfRule>
    <cfRule type="expression" dxfId="1892" priority="101">
      <formula>$K$91 = 0</formula>
    </cfRule>
    <cfRule type="expression" dxfId="1891" priority="102">
      <formula>$K$91 &lt; 0</formula>
    </cfRule>
  </conditionalFormatting>
  <conditionalFormatting sqref="M69:O70 N91:O91">
    <cfRule type="expression" dxfId="1890" priority="97">
      <formula>$N$91 &gt; 0</formula>
    </cfRule>
    <cfRule type="expression" dxfId="1889" priority="98">
      <formula>$N$91 = 0</formula>
    </cfRule>
    <cfRule type="expression" dxfId="1888" priority="99">
      <formula>$N$91 &lt; 0</formula>
    </cfRule>
  </conditionalFormatting>
  <conditionalFormatting sqref="A98:C117 M98:O117">
    <cfRule type="expression" dxfId="1887" priority="85">
      <formula>AND($N98 &gt; 0, ISNUMBER($N98))</formula>
    </cfRule>
    <cfRule type="expression" dxfId="1886" priority="86">
      <formula>AND($N98 = 0 * ISNUMBER($N98))</formula>
    </cfRule>
    <cfRule type="expression" dxfId="1885" priority="87">
      <formula>AND($N98 &lt; 0, ISNUMBER($N98))</formula>
    </cfRule>
  </conditionalFormatting>
  <conditionalFormatting sqref="A98:F117">
    <cfRule type="expression" dxfId="1884" priority="94">
      <formula>AND($E98 &gt; 0, ISNUMBER($E98))</formula>
    </cfRule>
    <cfRule type="expression" dxfId="1883" priority="95">
      <formula>AND($E98 = 0 * ISNUMBER($E98))</formula>
    </cfRule>
    <cfRule type="expression" dxfId="1882" priority="96">
      <formula>AND($E98 &lt; 0, ISNUMBER($E98))</formula>
    </cfRule>
  </conditionalFormatting>
  <conditionalFormatting sqref="A98:C117 G98:I117">
    <cfRule type="expression" dxfId="1881" priority="91">
      <formula>AND($H98 &gt; 0, ISNUMBER($H98))</formula>
    </cfRule>
    <cfRule type="expression" dxfId="1880" priority="92">
      <formula>AND($H98 = 0 * ISNUMBER($H98))</formula>
    </cfRule>
    <cfRule type="expression" dxfId="1879" priority="93">
      <formula>AND($H98 &lt; 0, ISNUMBER($H98))</formula>
    </cfRule>
  </conditionalFormatting>
  <conditionalFormatting sqref="A98:C117 J98:L117">
    <cfRule type="expression" dxfId="1878" priority="88">
      <formula>AND($K98 &gt; 0, ISNUMBER($K98))</formula>
    </cfRule>
    <cfRule type="expression" dxfId="1877" priority="89">
      <formula>AND($K98 = 0 * ISNUMBER($K98))</formula>
    </cfRule>
    <cfRule type="expression" dxfId="1876" priority="90">
      <formula>AND($K98 &lt; 0, ISNUMBER($K98))</formula>
    </cfRule>
  </conditionalFormatting>
  <conditionalFormatting sqref="D96:F97 E118:F118">
    <cfRule type="expression" dxfId="1875" priority="82">
      <formula>$E$118 &gt; 0</formula>
    </cfRule>
    <cfRule type="expression" dxfId="1874" priority="83">
      <formula>$E$118 = 0</formula>
    </cfRule>
    <cfRule type="expression" dxfId="1873" priority="84">
      <formula>$E$118 &lt; 0</formula>
    </cfRule>
  </conditionalFormatting>
  <conditionalFormatting sqref="G96:I97 H118:I118">
    <cfRule type="expression" dxfId="1872" priority="79">
      <formula>$H$118 &gt; 0</formula>
    </cfRule>
    <cfRule type="expression" dxfId="1871" priority="80">
      <formula>$H$118 = 0</formula>
    </cfRule>
    <cfRule type="expression" dxfId="1870" priority="81">
      <formula>$H$118 &lt; 0</formula>
    </cfRule>
  </conditionalFormatting>
  <conditionalFormatting sqref="J96:L97 K118:L118">
    <cfRule type="expression" dxfId="1869" priority="76">
      <formula>$K$118 &gt; 0</formula>
    </cfRule>
    <cfRule type="expression" dxfId="1868" priority="77">
      <formula>$K$118 = 0</formula>
    </cfRule>
    <cfRule type="expression" dxfId="1867" priority="78">
      <formula>$K$118 &lt; 0</formula>
    </cfRule>
  </conditionalFormatting>
  <conditionalFormatting sqref="M96:O97 N118:O118">
    <cfRule type="expression" dxfId="1866" priority="73">
      <formula>$N$118 &gt; 0</formula>
    </cfRule>
    <cfRule type="expression" dxfId="1865" priority="74">
      <formula>$N$118 = 0</formula>
    </cfRule>
    <cfRule type="expression" dxfId="1864" priority="75">
      <formula>$N$118 &lt; 0</formula>
    </cfRule>
  </conditionalFormatting>
  <conditionalFormatting sqref="A125:C144 M125:O144">
    <cfRule type="expression" dxfId="1863" priority="61">
      <formula>AND($N125 &gt; 0, ISNUMBER($N125))</formula>
    </cfRule>
    <cfRule type="expression" dxfId="1862" priority="62">
      <formula>AND($N125 = 0 * ISNUMBER($N125))</formula>
    </cfRule>
    <cfRule type="expression" dxfId="1861" priority="63">
      <formula>AND($N125 &lt; 0, ISNUMBER($N125))</formula>
    </cfRule>
  </conditionalFormatting>
  <conditionalFormatting sqref="A125:F144">
    <cfRule type="expression" dxfId="1860" priority="70">
      <formula>AND($E125 &gt; 0, ISNUMBER($E125))</formula>
    </cfRule>
    <cfRule type="expression" dxfId="1859" priority="71">
      <formula>AND($E125 = 0 * ISNUMBER($E125))</formula>
    </cfRule>
    <cfRule type="expression" dxfId="1858" priority="72">
      <formula>AND($E125 &lt; 0, ISNUMBER($E125))</formula>
    </cfRule>
  </conditionalFormatting>
  <conditionalFormatting sqref="A125:C144 G125:I144">
    <cfRule type="expression" dxfId="1857" priority="67">
      <formula>AND($H125 &gt; 0, ISNUMBER($H125))</formula>
    </cfRule>
    <cfRule type="expression" dxfId="1856" priority="68">
      <formula>AND($H125 = 0 * ISNUMBER($H125))</formula>
    </cfRule>
    <cfRule type="expression" dxfId="1855" priority="69">
      <formula>AND($H125 &lt; 0, ISNUMBER($H125))</formula>
    </cfRule>
  </conditionalFormatting>
  <conditionalFormatting sqref="A125:C144 J125:L144">
    <cfRule type="expression" dxfId="1854" priority="64">
      <formula>AND($K125 &gt; 0, ISNUMBER($K125))</formula>
    </cfRule>
    <cfRule type="expression" dxfId="1853" priority="65">
      <formula>AND($K125 = 0 * ISNUMBER($K125))</formula>
    </cfRule>
    <cfRule type="expression" dxfId="1852" priority="66">
      <formula>AND($K125 &lt; 0, ISNUMBER($K125))</formula>
    </cfRule>
  </conditionalFormatting>
  <conditionalFormatting sqref="D123:F124 E145:F145">
    <cfRule type="expression" dxfId="1851" priority="58">
      <formula>$E$145 &gt; 0</formula>
    </cfRule>
    <cfRule type="expression" dxfId="1850" priority="59">
      <formula>$E$145 = 0</formula>
    </cfRule>
    <cfRule type="expression" dxfId="1849" priority="60">
      <formula>$E$145 &lt; 0</formula>
    </cfRule>
  </conditionalFormatting>
  <conditionalFormatting sqref="G123:I124 H145:I145">
    <cfRule type="expression" dxfId="1848" priority="55">
      <formula>$H$145 &gt; 0</formula>
    </cfRule>
    <cfRule type="expression" dxfId="1847" priority="56">
      <formula>$H$145 = 0</formula>
    </cfRule>
    <cfRule type="expression" dxfId="1846" priority="57">
      <formula>$H$145 &lt; 0</formula>
    </cfRule>
  </conditionalFormatting>
  <conditionalFormatting sqref="J123:L124 K145:L145">
    <cfRule type="expression" dxfId="1845" priority="52">
      <formula>$K$145 &gt; 0</formula>
    </cfRule>
    <cfRule type="expression" dxfId="1844" priority="53">
      <formula>$K$145 = 0</formula>
    </cfRule>
    <cfRule type="expression" dxfId="1843" priority="54">
      <formula>$K$145 &lt; 0</formula>
    </cfRule>
  </conditionalFormatting>
  <conditionalFormatting sqref="M123:O124 N145:O145">
    <cfRule type="expression" dxfId="1842" priority="49">
      <formula>$N$145 &gt; 0</formula>
    </cfRule>
    <cfRule type="expression" dxfId="1841" priority="50">
      <formula>$N$145 = 0</formula>
    </cfRule>
    <cfRule type="expression" dxfId="1840" priority="51">
      <formula>$N$145 &lt; 0</formula>
    </cfRule>
  </conditionalFormatting>
  <conditionalFormatting sqref="A152:C171 M152:O171">
    <cfRule type="expression" dxfId="1839" priority="37">
      <formula>AND($N152 &gt; 0, ISNUMBER($N152))</formula>
    </cfRule>
    <cfRule type="expression" dxfId="1838" priority="38">
      <formula>AND($N152 = 0 * ISNUMBER($N152))</formula>
    </cfRule>
    <cfRule type="expression" dxfId="1837" priority="39">
      <formula>AND($N152 &lt; 0, ISNUMBER($N152))</formula>
    </cfRule>
  </conditionalFormatting>
  <conditionalFormatting sqref="A152:F171">
    <cfRule type="expression" dxfId="1836" priority="46">
      <formula>AND($E152 &gt; 0, ISNUMBER($E152))</formula>
    </cfRule>
    <cfRule type="expression" dxfId="1835" priority="47">
      <formula>AND($E152 = 0 * ISNUMBER($E152))</formula>
    </cfRule>
    <cfRule type="expression" dxfId="1834" priority="48">
      <formula>AND($E152 &lt; 0, ISNUMBER($E152))</formula>
    </cfRule>
  </conditionalFormatting>
  <conditionalFormatting sqref="A152:C171 G152:I171">
    <cfRule type="expression" dxfId="1833" priority="43">
      <formula>AND($H152 &gt; 0, ISNUMBER($H152))</formula>
    </cfRule>
    <cfRule type="expression" dxfId="1832" priority="44">
      <formula>AND($H152 = 0 * ISNUMBER($H152))</formula>
    </cfRule>
    <cfRule type="expression" dxfId="1831" priority="45">
      <formula>AND($H152 &lt; 0, ISNUMBER($H152))</formula>
    </cfRule>
  </conditionalFormatting>
  <conditionalFormatting sqref="A152:C171 J152:L171">
    <cfRule type="expression" dxfId="1830" priority="40">
      <formula>AND($K152 &gt; 0, ISNUMBER($K152))</formula>
    </cfRule>
    <cfRule type="expression" dxfId="1829" priority="41">
      <formula>AND($K152 = 0 * ISNUMBER($K152))</formula>
    </cfRule>
    <cfRule type="expression" dxfId="1828" priority="42">
      <formula>AND($K152 &lt; 0, ISNUMBER($K152))</formula>
    </cfRule>
  </conditionalFormatting>
  <conditionalFormatting sqref="D150:F151 E172:F172">
    <cfRule type="expression" dxfId="1827" priority="34">
      <formula>$E$172 &gt; 0</formula>
    </cfRule>
    <cfRule type="expression" dxfId="1826" priority="35">
      <formula>$E$172 = 0</formula>
    </cfRule>
    <cfRule type="expression" dxfId="1825" priority="36">
      <formula>$E$172 &lt; 0</formula>
    </cfRule>
  </conditionalFormatting>
  <conditionalFormatting sqref="G150:I151 H172:I172">
    <cfRule type="expression" dxfId="1824" priority="31">
      <formula>$H$172 &gt; 0</formula>
    </cfRule>
    <cfRule type="expression" dxfId="1823" priority="32">
      <formula>$H$172 = 0</formula>
    </cfRule>
    <cfRule type="expression" dxfId="1822" priority="33">
      <formula>$H$172 &lt; 0</formula>
    </cfRule>
  </conditionalFormatting>
  <conditionalFormatting sqref="J150:L151 K172:L172">
    <cfRule type="expression" dxfId="1821" priority="28">
      <formula>$K$172 &gt; 0</formula>
    </cfRule>
    <cfRule type="expression" dxfId="1820" priority="29">
      <formula>$K$172 = 0</formula>
    </cfRule>
    <cfRule type="expression" dxfId="1819" priority="30">
      <formula>$K$172 &lt; 0</formula>
    </cfRule>
  </conditionalFormatting>
  <conditionalFormatting sqref="M150:O151 N172:O172">
    <cfRule type="expression" dxfId="1818" priority="25">
      <formula>$N$172 &gt; 0</formula>
    </cfRule>
    <cfRule type="expression" dxfId="1817" priority="26">
      <formula>$N$172 = 0</formula>
    </cfRule>
    <cfRule type="expression" dxfId="1816" priority="27">
      <formula>$N$172 &lt; 0</formula>
    </cfRule>
  </conditionalFormatting>
  <conditionalFormatting sqref="A179:C198 M179:O198">
    <cfRule type="expression" dxfId="1815" priority="13">
      <formula>AND($N179 &gt; 0, ISNUMBER($N179))</formula>
    </cfRule>
    <cfRule type="expression" dxfId="1814" priority="14">
      <formula>AND($N179 = 0 * ISNUMBER($N179))</formula>
    </cfRule>
    <cfRule type="expression" dxfId="1813" priority="15">
      <formula>AND($N179 &lt; 0, ISNUMBER($N179))</formula>
    </cfRule>
  </conditionalFormatting>
  <conditionalFormatting sqref="A179:F198">
    <cfRule type="expression" dxfId="1812" priority="22">
      <formula>AND($E179 &gt; 0, ISNUMBER($E179))</formula>
    </cfRule>
    <cfRule type="expression" dxfId="1811" priority="23">
      <formula>AND($E179 = 0 * ISNUMBER($E179))</formula>
    </cfRule>
    <cfRule type="expression" dxfId="1810" priority="24">
      <formula>AND($E179 &lt; 0, ISNUMBER($E179))</formula>
    </cfRule>
  </conditionalFormatting>
  <conditionalFormatting sqref="A179:C198 G179:I198">
    <cfRule type="expression" dxfId="1809" priority="19">
      <formula>AND($H179 &gt; 0, ISNUMBER($H179))</formula>
    </cfRule>
    <cfRule type="expression" dxfId="1808" priority="20">
      <formula>AND($H179 = 0 * ISNUMBER($H179))</formula>
    </cfRule>
    <cfRule type="expression" dxfId="1807" priority="21">
      <formula>AND($H179 &lt; 0, ISNUMBER($H179))</formula>
    </cfRule>
  </conditionalFormatting>
  <conditionalFormatting sqref="A179:C198 J179:L198">
    <cfRule type="expression" dxfId="1806" priority="16">
      <formula>AND($K179 &gt; 0, ISNUMBER($K179))</formula>
    </cfRule>
    <cfRule type="expression" dxfId="1805" priority="17">
      <formula>AND($K179 = 0 * ISNUMBER($K179))</formula>
    </cfRule>
    <cfRule type="expression" dxfId="1804" priority="18">
      <formula>AND($K179 &lt; 0, ISNUMBER($K179))</formula>
    </cfRule>
  </conditionalFormatting>
  <conditionalFormatting sqref="D177:F178 E199:F199">
    <cfRule type="expression" dxfId="1803" priority="10">
      <formula>$E$199 &gt; 0</formula>
    </cfRule>
    <cfRule type="expression" dxfId="1802" priority="11">
      <formula>$E$199 = 0</formula>
    </cfRule>
    <cfRule type="expression" dxfId="1801" priority="12">
      <formula>$E$199 &lt; 0</formula>
    </cfRule>
  </conditionalFormatting>
  <conditionalFormatting sqref="G177:I178 H199:I199">
    <cfRule type="expression" dxfId="1800" priority="7">
      <formula>$H$199 &gt; 0</formula>
    </cfRule>
    <cfRule type="expression" dxfId="1799" priority="8">
      <formula>$H$199 = 0</formula>
    </cfRule>
    <cfRule type="expression" dxfId="1798" priority="9">
      <formula>$H$199 &lt; 0</formula>
    </cfRule>
  </conditionalFormatting>
  <conditionalFormatting sqref="J177:L178 K199:L199">
    <cfRule type="expression" dxfId="1797" priority="4">
      <formula>$K$199 &gt; 0</formula>
    </cfRule>
    <cfRule type="expression" dxfId="1796" priority="5">
      <formula>$K$199 = 0</formula>
    </cfRule>
    <cfRule type="expression" dxfId="1795" priority="6">
      <formula>$K$199 &lt; 0</formula>
    </cfRule>
  </conditionalFormatting>
  <conditionalFormatting sqref="M177:O178 N199:O199">
    <cfRule type="expression" dxfId="1794" priority="1">
      <formula>$N$199 &gt; 0</formula>
    </cfRule>
    <cfRule type="expression" dxfId="1793" priority="2">
      <formula>$N$199 = 0</formula>
    </cfRule>
    <cfRule type="expression" dxfId="17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E03E2-EB0C-4E2A-A9A0-04BC9C0EE259}">
  <sheetPr codeName="Sheet13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9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5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9" t="s">
        <v>0</v>
      </c>
      <c r="B1" s="250"/>
      <c r="C1" s="250"/>
      <c r="D1" s="250"/>
      <c r="E1" s="250"/>
      <c r="F1" s="251"/>
      <c r="G1" s="252">
        <v>44323</v>
      </c>
      <c r="H1" s="253"/>
      <c r="I1" s="254"/>
      <c r="J1" s="249" t="s">
        <v>1</v>
      </c>
      <c r="K1" s="250"/>
      <c r="L1" s="250"/>
      <c r="M1" s="250"/>
      <c r="N1" s="250"/>
      <c r="O1" s="251"/>
      <c r="Q1" s="249" t="s">
        <v>2</v>
      </c>
      <c r="R1" s="251"/>
    </row>
    <row r="2" spans="1:19" ht="17.25" customHeight="1">
      <c r="A2" s="116" t="s">
        <v>3</v>
      </c>
      <c r="B2" s="255" t="s">
        <v>4</v>
      </c>
      <c r="C2" s="256"/>
      <c r="D2" s="256"/>
      <c r="E2" s="256"/>
      <c r="F2" s="257"/>
      <c r="G2" s="258" t="s">
        <v>46</v>
      </c>
      <c r="H2" s="259"/>
      <c r="I2" s="260"/>
      <c r="J2" s="1" t="s">
        <v>3</v>
      </c>
      <c r="K2" s="255" t="s">
        <v>5</v>
      </c>
      <c r="L2" s="256"/>
      <c r="M2" s="256"/>
      <c r="N2" s="256"/>
      <c r="O2" s="257"/>
      <c r="Q2" s="2" t="s">
        <v>6</v>
      </c>
      <c r="R2" s="3">
        <v>0.375</v>
      </c>
    </row>
    <row r="3" spans="1:19" ht="17.25" customHeight="1" thickBot="1">
      <c r="A3" s="117" t="s">
        <v>7</v>
      </c>
      <c r="B3" s="261" t="s">
        <v>8</v>
      </c>
      <c r="C3" s="262"/>
      <c r="D3" s="262"/>
      <c r="E3" s="262"/>
      <c r="F3" s="263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291,654 KRW (9.72%)</v>
      </c>
      <c r="H3" s="265"/>
      <c r="I3" s="266"/>
      <c r="J3" s="4" t="s">
        <v>7</v>
      </c>
      <c r="K3" s="261" t="s">
        <v>9</v>
      </c>
      <c r="L3" s="262"/>
      <c r="M3" s="262"/>
      <c r="N3" s="262"/>
      <c r="O3" s="263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61" t="s">
        <v>12</v>
      </c>
      <c r="C4" s="262"/>
      <c r="D4" s="262"/>
      <c r="E4" s="262"/>
      <c r="F4" s="263"/>
      <c r="G4" s="258" t="s">
        <v>44</v>
      </c>
      <c r="H4" s="259"/>
      <c r="I4" s="260"/>
      <c r="J4" s="4" t="s">
        <v>11</v>
      </c>
      <c r="K4" s="261" t="s">
        <v>13</v>
      </c>
      <c r="L4" s="262"/>
      <c r="M4" s="262"/>
      <c r="N4" s="262"/>
      <c r="O4" s="263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61" t="s">
        <v>16</v>
      </c>
      <c r="C5" s="262"/>
      <c r="D5" s="262"/>
      <c r="E5" s="262"/>
      <c r="F5" s="263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5,094 KRW (0.18%)</v>
      </c>
      <c r="H5" s="265"/>
      <c r="I5" s="266"/>
      <c r="J5" s="4" t="s">
        <v>15</v>
      </c>
      <c r="K5" s="261" t="s">
        <v>17</v>
      </c>
      <c r="L5" s="262"/>
      <c r="M5" s="262"/>
      <c r="N5" s="262"/>
      <c r="O5" s="263"/>
    </row>
    <row r="6" spans="1:19">
      <c r="A6" s="117" t="s">
        <v>18</v>
      </c>
      <c r="B6" s="261" t="s">
        <v>19</v>
      </c>
      <c r="C6" s="262"/>
      <c r="D6" s="262"/>
      <c r="E6" s="262"/>
      <c r="F6" s="263"/>
      <c r="G6" s="258" t="s">
        <v>45</v>
      </c>
      <c r="H6" s="259"/>
      <c r="I6" s="260"/>
      <c r="J6" s="4" t="s">
        <v>18</v>
      </c>
      <c r="K6" s="261" t="s">
        <v>20</v>
      </c>
      <c r="L6" s="262"/>
      <c r="M6" s="262"/>
      <c r="N6" s="262"/>
      <c r="O6" s="263"/>
    </row>
    <row r="7" spans="1:19" ht="17.25" thickBot="1">
      <c r="A7" s="117" t="s">
        <v>21</v>
      </c>
      <c r="B7" s="261" t="s">
        <v>22</v>
      </c>
      <c r="C7" s="262"/>
      <c r="D7" s="262"/>
      <c r="E7" s="262"/>
      <c r="F7" s="263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138,127 KRW (4.60%)</v>
      </c>
      <c r="H7" s="265"/>
      <c r="I7" s="266"/>
      <c r="J7" s="4" t="s">
        <v>21</v>
      </c>
      <c r="K7" s="261" t="s">
        <v>23</v>
      </c>
      <c r="L7" s="262"/>
      <c r="M7" s="262"/>
      <c r="N7" s="262"/>
      <c r="O7" s="263"/>
    </row>
    <row r="8" spans="1:19" ht="17.25" thickBot="1">
      <c r="A8" s="117" t="s">
        <v>24</v>
      </c>
      <c r="B8" s="261" t="s">
        <v>25</v>
      </c>
      <c r="C8" s="262"/>
      <c r="D8" s="262"/>
      <c r="E8" s="262"/>
      <c r="F8" s="263"/>
      <c r="G8" s="258" t="s">
        <v>285</v>
      </c>
      <c r="H8" s="259"/>
      <c r="I8" s="260"/>
      <c r="J8" s="4" t="s">
        <v>24</v>
      </c>
      <c r="K8" s="261" t="s">
        <v>26</v>
      </c>
      <c r="L8" s="262"/>
      <c r="M8" s="262"/>
      <c r="N8" s="262"/>
      <c r="O8" s="263"/>
      <c r="Q8" s="249" t="s">
        <v>27</v>
      </c>
      <c r="R8" s="251"/>
    </row>
    <row r="9" spans="1:19" ht="17.25" thickBot="1">
      <c r="A9" s="117" t="s">
        <v>28</v>
      </c>
      <c r="B9" s="261"/>
      <c r="C9" s="262"/>
      <c r="D9" s="262"/>
      <c r="E9" s="262"/>
      <c r="F9" s="263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-52,376 KRW (-1.75%)</v>
      </c>
      <c r="H9" s="265"/>
      <c r="I9" s="266"/>
      <c r="J9" s="4" t="s">
        <v>28</v>
      </c>
      <c r="K9" s="261" t="s">
        <v>293</v>
      </c>
      <c r="L9" s="262"/>
      <c r="M9" s="262"/>
      <c r="N9" s="262"/>
      <c r="O9" s="263"/>
      <c r="Q9" s="2" t="s">
        <v>29</v>
      </c>
      <c r="R9" s="6">
        <v>10</v>
      </c>
    </row>
    <row r="10" spans="1:19">
      <c r="A10" s="117" t="s">
        <v>30</v>
      </c>
      <c r="B10" s="261"/>
      <c r="C10" s="262"/>
      <c r="D10" s="262"/>
      <c r="E10" s="262"/>
      <c r="F10" s="263"/>
      <c r="G10" s="258" t="s">
        <v>47</v>
      </c>
      <c r="H10" s="259"/>
      <c r="I10" s="260"/>
      <c r="J10" s="4" t="s">
        <v>30</v>
      </c>
      <c r="K10" s="261"/>
      <c r="L10" s="262"/>
      <c r="M10" s="262"/>
      <c r="N10" s="262"/>
      <c r="O10" s="263"/>
      <c r="Q10" s="2" t="s">
        <v>31</v>
      </c>
      <c r="R10" s="6">
        <v>100</v>
      </c>
    </row>
    <row r="11" spans="1:19" ht="17.25" thickBot="1">
      <c r="A11" s="118" t="s">
        <v>32</v>
      </c>
      <c r="B11" s="267"/>
      <c r="C11" s="268"/>
      <c r="D11" s="268"/>
      <c r="E11" s="268"/>
      <c r="F11" s="269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291,654 KRW (9.72%)</v>
      </c>
      <c r="H11" s="265"/>
      <c r="I11" s="266"/>
      <c r="J11" s="7" t="s">
        <v>32</v>
      </c>
      <c r="K11" s="267"/>
      <c r="L11" s="268"/>
      <c r="M11" s="268"/>
      <c r="N11" s="268"/>
      <c r="O11" s="269"/>
      <c r="Q11" s="61" t="s">
        <v>33</v>
      </c>
      <c r="R11" s="8">
        <v>1000</v>
      </c>
    </row>
    <row r="12" spans="1:19" ht="17.25" thickBot="1"/>
    <row r="13" spans="1:19" ht="17.25" customHeight="1" thickBot="1">
      <c r="A13" s="249" t="s">
        <v>34</v>
      </c>
      <c r="B13" s="250"/>
      <c r="C13" s="250"/>
      <c r="D13" s="250"/>
      <c r="E13" s="250"/>
      <c r="F13" s="250"/>
      <c r="G13" s="250"/>
      <c r="H13" s="250"/>
      <c r="I13" s="250"/>
      <c r="J13" s="250"/>
      <c r="K13" s="250"/>
      <c r="L13" s="250"/>
      <c r="M13" s="250"/>
      <c r="N13" s="250"/>
      <c r="O13" s="251"/>
      <c r="Q13" s="270"/>
      <c r="R13" s="270"/>
      <c r="S13" s="270"/>
    </row>
    <row r="14" spans="1:19" ht="17.25" customHeight="1" thickBot="1">
      <c r="A14" s="163" t="s">
        <v>35</v>
      </c>
      <c r="B14" s="249" t="s">
        <v>36</v>
      </c>
      <c r="C14" s="251"/>
      <c r="D14" s="249" t="s">
        <v>37</v>
      </c>
      <c r="E14" s="250"/>
      <c r="F14" s="251"/>
      <c r="G14" s="276">
        <f>_xlfn.IFNA(VLOOKUP(B14, 현재가테이블!$B$2:$D$200, 2, FALSE), "-")</f>
        <v>60874000</v>
      </c>
      <c r="H14" s="277"/>
      <c r="I14" s="278"/>
      <c r="J14" s="249" t="s">
        <v>38</v>
      </c>
      <c r="K14" s="250"/>
      <c r="L14" s="251"/>
      <c r="M14" s="279">
        <f>_xlfn.IFNA(VLOOKUP(B14, 현재가테이블!$B$2:$D$200, 3, FALSE), "-")</f>
        <v>-1.4936000099999999E-2</v>
      </c>
      <c r="N14" s="280"/>
      <c r="O14" s="281"/>
      <c r="Q14" s="270"/>
      <c r="R14" s="270"/>
      <c r="S14" s="270"/>
    </row>
    <row r="15" spans="1:19" ht="17.25" customHeight="1" thickBot="1">
      <c r="A15" s="314" t="s">
        <v>39</v>
      </c>
      <c r="B15" s="315" t="str">
        <f>TEXT($G$1, "[$-ko-KR]yyyy-mm-dd(ddd) ") &amp; "오전 00:00"</f>
        <v>2021-05-07(금) 오전 00:00</v>
      </c>
      <c r="C15" s="316"/>
      <c r="D15" s="272" t="str">
        <f>TEXT($G$1, "[$-ko-KR]yyyy-mm-dd(ddd) ") &amp; "오후 14:00"</f>
        <v>2021-05-07(금) 오후 14:00</v>
      </c>
      <c r="E15" s="273"/>
      <c r="F15" s="274"/>
      <c r="G15" s="272" t="str">
        <f>TEXT($G$1, "[$-ko-KR]yyyy-mm-dd(ddd) ") &amp; "오후 19:00"</f>
        <v>2021-05-07(금) 오후 19:00</v>
      </c>
      <c r="H15" s="273"/>
      <c r="I15" s="274"/>
      <c r="J15" s="272" t="str">
        <f>TEXT($G$1, "[$-ko-KR]yyyy-mm-dd(ddd) ") &amp; "오후 21:00"</f>
        <v>2021-05-07(금) 오후 21:00</v>
      </c>
      <c r="K15" s="273"/>
      <c r="L15" s="274"/>
      <c r="M15" s="272" t="str">
        <f>TEXT($G$1+1, "[$-ko-KR]yyyy-mm-dd(ddd) ") &amp; "오전 00:00"</f>
        <v>2021-05-08(토) 오전 00:00</v>
      </c>
      <c r="N15" s="273"/>
      <c r="O15" s="274"/>
      <c r="Q15" s="270"/>
      <c r="R15" s="270"/>
      <c r="S15" s="270"/>
    </row>
    <row r="16" spans="1:19" ht="17.25" customHeight="1" thickBot="1">
      <c r="A16" s="314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4" t="s">
        <v>37</v>
      </c>
      <c r="H16" s="165" t="s">
        <v>40</v>
      </c>
      <c r="I16" s="166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75"/>
      <c r="R16" s="275"/>
      <c r="S16" s="275"/>
    </row>
    <row r="17" spans="1:19" ht="17.25" customHeight="1" thickBot="1">
      <c r="A17" s="122" t="s">
        <v>188</v>
      </c>
      <c r="B17" s="123">
        <f>IF(NOT(ISBLANK(_xlfn.IFNA(VLOOKUP($A17, $A$40:$O$199, 2, FALSE), ))), _xlfn.IFNA(VLOOKUP($A17, $A$40:$O$199, 2, FALSE), ), "")</f>
        <v>26350</v>
      </c>
      <c r="C17" s="72">
        <f>IF(NOT(ISBLANK(_xlfn.IFNA(VLOOKUP($A17, $A$40:$O$199, 3, FALSE), ))), _xlfn.IFNA(VLOOKUP($A17, $A$40:$O$199, 3, FALSE), ), "")</f>
        <v>0.2324602432</v>
      </c>
      <c r="D17" s="13">
        <f>IF(NOT(ISBLANK(_xlfn.IFNA(VLOOKUP($A17, $A$40:$O$199, 4, FALSE), ))), _xlfn.IFNA(VLOOKUP($A17, $A$40:$O$199, 4, FALSE), ), "")</f>
        <v>37620</v>
      </c>
      <c r="E17" s="14">
        <f>IF(NOT(ISBLANK(_xlfn.IFNA(VLOOKUP($A17, $A$40:$O$199, 5, FALSE), ))), _xlfn.IFNA(VLOOKUP($A17, $A$40:$O$199, 5, FALSE), ), "")</f>
        <v>0.42770398481973437</v>
      </c>
      <c r="F17" s="16">
        <f>IF(NOT(ISBLANK(_xlfn.IFNA(VLOOKUP($A17, $A$40:$O$199, 6, FALSE), ))), _xlfn.IFNA(VLOOKUP($A17, $A$40:$O$199, 6, FALSE), ), "")</f>
        <v>64155.597722960156</v>
      </c>
      <c r="G17" s="29">
        <f>IF(NOT(ISBLANK(_xlfn.IFNA(VLOOKUP($A17, $A$40:$O$199, 7, FALSE), ))), _xlfn.IFNA(VLOOKUP($A17, $A$40:$O$199, 7, FALSE), ), "")</f>
        <v>40130</v>
      </c>
      <c r="H17" s="14">
        <f>IF(NOT(ISBLANK(_xlfn.IFNA(VLOOKUP($A17, $A$40:$O$199, 8, FALSE), ))), _xlfn.IFNA(VLOOKUP($A17, $A$40:$O$199, 8, FALSE), ), "")</f>
        <v>0.52296015180265654</v>
      </c>
      <c r="I17" s="96">
        <f>IF(NOT(ISBLANK(_xlfn.IFNA(VLOOKUP($A17, $A$40:$O$199, 9, FALSE), ))), _xlfn.IFNA(VLOOKUP($A17, $A$40:$O$199, 9, FALSE), ), "")</f>
        <v>78444.022770398486</v>
      </c>
      <c r="J17" s="13">
        <f>IF(NOT(ISBLANK(_xlfn.IFNA(VLOOKUP($A17, $A$40:$O$199, 10, FALSE), ))), _xlfn.IFNA(VLOOKUP($A17, $A$40:$O$199, 10, FALSE), ), "")</f>
        <v>37610</v>
      </c>
      <c r="K17" s="14">
        <f>IF(NOT(ISBLANK(_xlfn.IFNA(VLOOKUP($A17, $A$40:$O$199, 11, FALSE), ))), _xlfn.IFNA(VLOOKUP($A17, $A$40:$O$199, 11, FALSE), ), "")</f>
        <v>0.42732447817836811</v>
      </c>
      <c r="L17" s="16">
        <f>IF(NOT(ISBLANK(_xlfn.IFNA(VLOOKUP($A17, $A$40:$O$199, 12, FALSE), ))), _xlfn.IFNA(VLOOKUP($A17, $A$40:$O$199, 12, FALSE), ), "")</f>
        <v>64098.671726755216</v>
      </c>
      <c r="M17" s="29">
        <f>IF(NOT(ISBLANK(_xlfn.IFNA(VLOOKUP($A17, $A$40:$O$199, 13, FALSE), ))), _xlfn.IFNA(VLOOKUP($A17, $A$40:$O$199, 13, FALSE), ), "")</f>
        <v>35420</v>
      </c>
      <c r="N17" s="14">
        <f>IF(NOT(ISBLANK(_xlfn.IFNA(VLOOKUP($A17, $A$40:$O$199, 14, FALSE), ))), _xlfn.IFNA(VLOOKUP($A17, $A$40:$O$199, 14, FALSE), ), "")</f>
        <v>0.34421252371916511</v>
      </c>
      <c r="O17" s="16">
        <f>IF(NOT(ISBLANK(_xlfn.IFNA(VLOOKUP($A17, $A$40:$O$199, 15, FALSE), ))), _xlfn.IFNA(VLOOKUP($A17, $A$40:$O$199, 15, FALSE), ), "")</f>
        <v>51631.878557874763</v>
      </c>
      <c r="Q17" s="270"/>
      <c r="R17" s="270"/>
      <c r="S17" s="270"/>
    </row>
    <row r="18" spans="1:19" ht="17.25" customHeight="1" thickBot="1">
      <c r="A18" s="124" t="s">
        <v>102</v>
      </c>
      <c r="B18" s="125">
        <f t="shared" ref="B18:B36" si="0">IF(NOT(ISBLANK(_xlfn.IFNA(VLOOKUP($A18, $A$40:$O$199, 2, FALSE), ))), _xlfn.IFNA(VLOOKUP($A18, $A$40:$O$199, 2, FALSE), ), "")</f>
        <v>137000</v>
      </c>
      <c r="C18" s="73">
        <f t="shared" ref="C18:C36" si="1">IF(NOT(ISBLANK(_xlfn.IFNA(VLOOKUP($A18, $A$40:$O$199, 3, FALSE), ))), _xlfn.IFNA(VLOOKUP($A18, $A$40:$O$199, 3, FALSE), ), "")</f>
        <v>0.22321428569999999</v>
      </c>
      <c r="D18" s="15">
        <f t="shared" ref="D18:D36" si="2">IF(NOT(ISBLANK(_xlfn.IFNA(VLOOKUP($A18, $A$40:$O$199, 4, FALSE), ))), _xlfn.IFNA(VLOOKUP($A18, $A$40:$O$199, 4, FALSE), ), "")</f>
        <v>163950</v>
      </c>
      <c r="E18" s="32">
        <f t="shared" ref="E18:E36" si="3">IF(NOT(ISBLANK(_xlfn.IFNA(VLOOKUP($A18, $A$40:$O$199, 5, FALSE), ))), _xlfn.IFNA(VLOOKUP($A18, $A$40:$O$199, 5, FALSE), ), "")</f>
        <v>0.19671532846715328</v>
      </c>
      <c r="F18" s="18">
        <f t="shared" ref="F18:F36" si="4">IF(NOT(ISBLANK(_xlfn.IFNA(VLOOKUP($A18, $A$40:$O$199, 6, FALSE), ))), _xlfn.IFNA(VLOOKUP($A18, $A$40:$O$199, 6, FALSE), ), "")</f>
        <v>29507.299270072992</v>
      </c>
      <c r="G18" s="31">
        <f t="shared" ref="G18:G36" si="5">IF(NOT(ISBLANK(_xlfn.IFNA(VLOOKUP($A18, $A$40:$O$199, 7, FALSE), ))), _xlfn.IFNA(VLOOKUP($A18, $A$40:$O$199, 7, FALSE), ), "")</f>
        <v>169350</v>
      </c>
      <c r="H18" s="32">
        <f t="shared" ref="H18:H36" si="6">IF(NOT(ISBLANK(_xlfn.IFNA(VLOOKUP($A18, $A$40:$O$199, 8, FALSE), ))), _xlfn.IFNA(VLOOKUP($A18, $A$40:$O$199, 8, FALSE), ), "")</f>
        <v>0.23613138686131388</v>
      </c>
      <c r="I18" s="97">
        <f t="shared" ref="I18:I36" si="7">IF(NOT(ISBLANK(_xlfn.IFNA(VLOOKUP($A18, $A$40:$O$199, 9, FALSE), ))), _xlfn.IFNA(VLOOKUP($A18, $A$40:$O$199, 9, FALSE), ), "")</f>
        <v>35419.708029197085</v>
      </c>
      <c r="J18" s="15">
        <f t="shared" ref="J18:J36" si="8">IF(NOT(ISBLANK(_xlfn.IFNA(VLOOKUP($A18, $A$40:$O$199, 10, FALSE), ))), _xlfn.IFNA(VLOOKUP($A18, $A$40:$O$199, 10, FALSE), ), "")</f>
        <v>164950</v>
      </c>
      <c r="K18" s="32">
        <f t="shared" ref="K18:K36" si="9">IF(NOT(ISBLANK(_xlfn.IFNA(VLOOKUP($A18, $A$40:$O$199, 11, FALSE), ))), _xlfn.IFNA(VLOOKUP($A18, $A$40:$O$199, 11, FALSE), ), "")</f>
        <v>0.20401459854014597</v>
      </c>
      <c r="L18" s="18">
        <f t="shared" ref="L18:L36" si="10">IF(NOT(ISBLANK(_xlfn.IFNA(VLOOKUP($A18, $A$40:$O$199, 12, FALSE), ))), _xlfn.IFNA(VLOOKUP($A18, $A$40:$O$199, 12, FALSE), ), "")</f>
        <v>30602.189781021898</v>
      </c>
      <c r="M18" s="31">
        <f t="shared" ref="M18:M36" si="11">IF(NOT(ISBLANK(_xlfn.IFNA(VLOOKUP($A18, $A$40:$O$199, 13, FALSE), ))), _xlfn.IFNA(VLOOKUP($A18, $A$40:$O$199, 13, FALSE), ), "")</f>
        <v>159300</v>
      </c>
      <c r="N18" s="32">
        <f t="shared" ref="N18:N36" si="12">IF(NOT(ISBLANK(_xlfn.IFNA(VLOOKUP($A18, $A$40:$O$199, 14, FALSE), ))), _xlfn.IFNA(VLOOKUP($A18, $A$40:$O$199, 14, FALSE), ), "")</f>
        <v>0.16277372262773723</v>
      </c>
      <c r="O18" s="18">
        <f t="shared" ref="O18:O36" si="13">IF(NOT(ISBLANK(_xlfn.IFNA(VLOOKUP($A18, $A$40:$O$199, 15, FALSE), ))), _xlfn.IFNA(VLOOKUP($A18, $A$40:$O$199, 15, FALSE), ), "")</f>
        <v>24416.058394160584</v>
      </c>
      <c r="Q18" s="270"/>
      <c r="R18" s="270"/>
      <c r="S18" s="270"/>
    </row>
    <row r="19" spans="1:19" ht="17.25" customHeight="1" thickBot="1">
      <c r="A19" s="124" t="s">
        <v>248</v>
      </c>
      <c r="B19" s="125">
        <f t="shared" si="0"/>
        <v>4055</v>
      </c>
      <c r="C19" s="73">
        <f t="shared" si="1"/>
        <v>0.2104477612</v>
      </c>
      <c r="D19" s="15">
        <f t="shared" si="2"/>
        <v>3615</v>
      </c>
      <c r="E19" s="32">
        <f t="shared" si="3"/>
        <v>-0.10850801479654747</v>
      </c>
      <c r="F19" s="18">
        <f t="shared" si="4"/>
        <v>-16276.20221948212</v>
      </c>
      <c r="G19" s="31">
        <f t="shared" si="5"/>
        <v>4085</v>
      </c>
      <c r="H19" s="32">
        <f t="shared" si="6"/>
        <v>7.3982737361282368E-3</v>
      </c>
      <c r="I19" s="97">
        <f t="shared" si="7"/>
        <v>1109.7410604192355</v>
      </c>
      <c r="J19" s="15">
        <f t="shared" si="8"/>
        <v>4180</v>
      </c>
      <c r="K19" s="32">
        <f t="shared" si="9"/>
        <v>3.0826140567200986E-2</v>
      </c>
      <c r="L19" s="18">
        <f t="shared" si="10"/>
        <v>4623.9210850801483</v>
      </c>
      <c r="M19" s="31">
        <f t="shared" si="11"/>
        <v>4275</v>
      </c>
      <c r="N19" s="32">
        <f t="shared" si="12"/>
        <v>5.4254007398273733E-2</v>
      </c>
      <c r="O19" s="18">
        <f t="shared" si="13"/>
        <v>8138.1011097410601</v>
      </c>
      <c r="Q19" s="275"/>
      <c r="R19" s="275"/>
      <c r="S19" s="275"/>
    </row>
    <row r="20" spans="1:19" ht="17.25" customHeight="1" thickBot="1">
      <c r="A20" s="124" t="s">
        <v>262</v>
      </c>
      <c r="B20" s="125">
        <f t="shared" si="0"/>
        <v>1300</v>
      </c>
      <c r="C20" s="73">
        <f t="shared" si="1"/>
        <v>0.16071428569999999</v>
      </c>
      <c r="D20" s="15">
        <f t="shared" si="2"/>
        <v>1360</v>
      </c>
      <c r="E20" s="32">
        <f t="shared" si="3"/>
        <v>4.6153846153846156E-2</v>
      </c>
      <c r="F20" s="18">
        <f t="shared" si="4"/>
        <v>6923.0769230769238</v>
      </c>
      <c r="G20" s="31">
        <f t="shared" si="5"/>
        <v>1385</v>
      </c>
      <c r="H20" s="32">
        <f t="shared" si="6"/>
        <v>6.5384615384615388E-2</v>
      </c>
      <c r="I20" s="97">
        <f t="shared" si="7"/>
        <v>9807.6923076923085</v>
      </c>
      <c r="J20" s="15">
        <f t="shared" si="8"/>
        <v>1505</v>
      </c>
      <c r="K20" s="32">
        <f t="shared" si="9"/>
        <v>0.15769230769230769</v>
      </c>
      <c r="L20" s="18">
        <f t="shared" si="10"/>
        <v>23653.846153846152</v>
      </c>
      <c r="M20" s="31">
        <f t="shared" si="11"/>
        <v>1530</v>
      </c>
      <c r="N20" s="32">
        <f t="shared" si="12"/>
        <v>0.17692307692307693</v>
      </c>
      <c r="O20" s="18">
        <f t="shared" si="13"/>
        <v>26538.461538461539</v>
      </c>
      <c r="Q20" s="275"/>
      <c r="R20" s="275"/>
      <c r="S20" s="275"/>
    </row>
    <row r="21" spans="1:19" ht="17.25" customHeight="1" thickBot="1">
      <c r="A21" s="126" t="s">
        <v>136</v>
      </c>
      <c r="B21" s="127">
        <f t="shared" si="0"/>
        <v>292</v>
      </c>
      <c r="C21" s="74">
        <f t="shared" si="1"/>
        <v>0.15415019760000001</v>
      </c>
      <c r="D21" s="20">
        <f t="shared" si="2"/>
        <v>274</v>
      </c>
      <c r="E21" s="21">
        <f t="shared" si="3"/>
        <v>-6.1643835616438353E-2</v>
      </c>
      <c r="F21" s="22">
        <f t="shared" si="4"/>
        <v>-9246.5753424657523</v>
      </c>
      <c r="G21" s="30">
        <f t="shared" si="5"/>
        <v>279</v>
      </c>
      <c r="H21" s="21">
        <f t="shared" si="6"/>
        <v>-4.4520547945205477E-2</v>
      </c>
      <c r="I21" s="101">
        <f t="shared" si="7"/>
        <v>-6678.0821917808216</v>
      </c>
      <c r="J21" s="20">
        <f t="shared" si="8"/>
        <v>287</v>
      </c>
      <c r="K21" s="21">
        <f t="shared" si="9"/>
        <v>-1.7123287671232876E-2</v>
      </c>
      <c r="L21" s="22">
        <f t="shared" si="10"/>
        <v>-2568.4931506849312</v>
      </c>
      <c r="M21" s="30">
        <f t="shared" si="11"/>
        <v>282</v>
      </c>
      <c r="N21" s="21">
        <f t="shared" si="12"/>
        <v>-3.4246575342465752E-2</v>
      </c>
      <c r="O21" s="22">
        <f t="shared" si="13"/>
        <v>-5136.9863013698623</v>
      </c>
      <c r="Q21" s="275"/>
      <c r="R21" s="275"/>
      <c r="S21" s="275"/>
    </row>
    <row r="22" spans="1:19" ht="17.25" customHeight="1" thickBot="1">
      <c r="A22" s="124" t="s">
        <v>168</v>
      </c>
      <c r="B22" s="128">
        <f t="shared" si="0"/>
        <v>255</v>
      </c>
      <c r="C22" s="76">
        <f t="shared" si="1"/>
        <v>0.13839285709999999</v>
      </c>
      <c r="D22" s="102">
        <f t="shared" si="2"/>
        <v>258</v>
      </c>
      <c r="E22" s="103">
        <f t="shared" si="3"/>
        <v>1.1764705882352941E-2</v>
      </c>
      <c r="F22" s="104">
        <f t="shared" si="4"/>
        <v>1764.7058823529412</v>
      </c>
      <c r="G22" s="105">
        <f t="shared" si="5"/>
        <v>262</v>
      </c>
      <c r="H22" s="103">
        <f t="shared" si="6"/>
        <v>2.7450980392156862E-2</v>
      </c>
      <c r="I22" s="106">
        <f t="shared" si="7"/>
        <v>4117.6470588235297</v>
      </c>
      <c r="J22" s="102">
        <f t="shared" si="8"/>
        <v>270</v>
      </c>
      <c r="K22" s="103">
        <f t="shared" si="9"/>
        <v>5.8823529411764705E-2</v>
      </c>
      <c r="L22" s="104">
        <f t="shared" si="10"/>
        <v>8823.5294117647063</v>
      </c>
      <c r="M22" s="105">
        <f t="shared" si="11"/>
        <v>261</v>
      </c>
      <c r="N22" s="103">
        <f t="shared" si="12"/>
        <v>2.3529411764705882E-2</v>
      </c>
      <c r="O22" s="104">
        <f t="shared" si="13"/>
        <v>3529.4117647058824</v>
      </c>
      <c r="Q22" s="275"/>
      <c r="R22" s="275"/>
      <c r="S22" s="275"/>
    </row>
    <row r="23" spans="1:19" ht="17.25" customHeight="1" thickBot="1">
      <c r="A23" s="124" t="s">
        <v>94</v>
      </c>
      <c r="B23" s="125">
        <f t="shared" si="0"/>
        <v>184150</v>
      </c>
      <c r="C23" s="73">
        <f t="shared" si="1"/>
        <v>0.1276791182</v>
      </c>
      <c r="D23" s="15">
        <f t="shared" si="2"/>
        <v>159450</v>
      </c>
      <c r="E23" s="32">
        <f t="shared" si="3"/>
        <v>-0.13412978550095031</v>
      </c>
      <c r="F23" s="18">
        <f t="shared" si="4"/>
        <v>-20119.467825142547</v>
      </c>
      <c r="G23" s="31">
        <f t="shared" si="5"/>
        <v>160100</v>
      </c>
      <c r="H23" s="32">
        <f t="shared" si="6"/>
        <v>-0.1306000543035569</v>
      </c>
      <c r="I23" s="97">
        <f t="shared" si="7"/>
        <v>-19590.008145533535</v>
      </c>
      <c r="J23" s="15">
        <f t="shared" si="8"/>
        <v>165450</v>
      </c>
      <c r="K23" s="32">
        <f t="shared" si="9"/>
        <v>-0.10154765137116481</v>
      </c>
      <c r="L23" s="18">
        <f t="shared" si="10"/>
        <v>-15232.147705674721</v>
      </c>
      <c r="M23" s="31">
        <f t="shared" si="11"/>
        <v>162950</v>
      </c>
      <c r="N23" s="32">
        <f t="shared" si="12"/>
        <v>-0.11512354059190877</v>
      </c>
      <c r="O23" s="18">
        <f t="shared" si="13"/>
        <v>-17268.531088786316</v>
      </c>
      <c r="Q23" s="275"/>
      <c r="R23" s="275"/>
      <c r="S23" s="275"/>
    </row>
    <row r="24" spans="1:19" ht="17.25" customHeight="1" thickBot="1">
      <c r="A24" s="124" t="s">
        <v>98</v>
      </c>
      <c r="B24" s="125">
        <f t="shared" si="0"/>
        <v>8825</v>
      </c>
      <c r="C24" s="73">
        <f t="shared" si="1"/>
        <v>0.1163820367</v>
      </c>
      <c r="D24" s="15">
        <f t="shared" si="2"/>
        <v>9250</v>
      </c>
      <c r="E24" s="32">
        <f t="shared" si="3"/>
        <v>4.8158640226628892E-2</v>
      </c>
      <c r="F24" s="18">
        <f t="shared" si="4"/>
        <v>7223.7960339943338</v>
      </c>
      <c r="G24" s="31">
        <f t="shared" si="5"/>
        <v>9060</v>
      </c>
      <c r="H24" s="32">
        <f t="shared" si="6"/>
        <v>2.6628895184135977E-2</v>
      </c>
      <c r="I24" s="97">
        <f t="shared" si="7"/>
        <v>3994.3342776203967</v>
      </c>
      <c r="J24" s="15">
        <f t="shared" si="8"/>
        <v>8970</v>
      </c>
      <c r="K24" s="32">
        <f t="shared" si="9"/>
        <v>1.643059490084986E-2</v>
      </c>
      <c r="L24" s="18">
        <f t="shared" si="10"/>
        <v>2464.5892351274788</v>
      </c>
      <c r="M24" s="31">
        <f t="shared" si="11"/>
        <v>8775</v>
      </c>
      <c r="N24" s="32">
        <f t="shared" si="12"/>
        <v>-5.6657223796033997E-3</v>
      </c>
      <c r="O24" s="18">
        <f t="shared" si="13"/>
        <v>-849.85835694050991</v>
      </c>
      <c r="Q24" s="275"/>
      <c r="R24" s="275"/>
      <c r="S24" s="275"/>
    </row>
    <row r="25" spans="1:19" ht="17.25" customHeight="1" thickBot="1">
      <c r="A25" s="124" t="s">
        <v>84</v>
      </c>
      <c r="B25" s="125">
        <f t="shared" si="0"/>
        <v>1970</v>
      </c>
      <c r="C25" s="73">
        <f t="shared" si="1"/>
        <v>0.1161473088</v>
      </c>
      <c r="D25" s="15">
        <f t="shared" si="2"/>
        <v>1920</v>
      </c>
      <c r="E25" s="32">
        <f t="shared" si="3"/>
        <v>-2.5380710659898477E-2</v>
      </c>
      <c r="F25" s="18">
        <f t="shared" si="4"/>
        <v>-3807.1065989847716</v>
      </c>
      <c r="G25" s="31">
        <f t="shared" si="5"/>
        <v>1970</v>
      </c>
      <c r="H25" s="32">
        <f t="shared" si="6"/>
        <v>0</v>
      </c>
      <c r="I25" s="97">
        <f t="shared" si="7"/>
        <v>0</v>
      </c>
      <c r="J25" s="15">
        <f t="shared" si="8"/>
        <v>2055</v>
      </c>
      <c r="K25" s="32">
        <f t="shared" si="9"/>
        <v>4.3147208121827409E-2</v>
      </c>
      <c r="L25" s="18">
        <f t="shared" si="10"/>
        <v>6472.0812182741111</v>
      </c>
      <c r="M25" s="31">
        <f t="shared" si="11"/>
        <v>2025</v>
      </c>
      <c r="N25" s="32">
        <f t="shared" si="12"/>
        <v>2.7918781725888325E-2</v>
      </c>
      <c r="O25" s="18">
        <f t="shared" si="13"/>
        <v>4187.8172588832485</v>
      </c>
      <c r="Q25" s="33"/>
      <c r="R25" s="33"/>
    </row>
    <row r="26" spans="1:19" ht="17.25" customHeight="1" thickBot="1">
      <c r="A26" s="129" t="s">
        <v>184</v>
      </c>
      <c r="B26" s="130">
        <f t="shared" si="0"/>
        <v>2845</v>
      </c>
      <c r="C26" s="75">
        <f t="shared" si="1"/>
        <v>0.1135029354</v>
      </c>
      <c r="D26" s="24">
        <f t="shared" si="2"/>
        <v>2820</v>
      </c>
      <c r="E26" s="25">
        <f t="shared" si="3"/>
        <v>-8.7873462214411256E-3</v>
      </c>
      <c r="F26" s="100">
        <f t="shared" si="4"/>
        <v>-1318.1019332161688</v>
      </c>
      <c r="G26" s="98">
        <f t="shared" si="5"/>
        <v>3005</v>
      </c>
      <c r="H26" s="25">
        <f t="shared" si="6"/>
        <v>5.6239015817223195E-2</v>
      </c>
      <c r="I26" s="99">
        <f t="shared" si="7"/>
        <v>8435.8523725834784</v>
      </c>
      <c r="J26" s="24">
        <f t="shared" si="8"/>
        <v>2955</v>
      </c>
      <c r="K26" s="25">
        <f t="shared" si="9"/>
        <v>3.8664323374340948E-2</v>
      </c>
      <c r="L26" s="100">
        <f t="shared" si="10"/>
        <v>5799.6485061511421</v>
      </c>
      <c r="M26" s="98">
        <f t="shared" si="11"/>
        <v>3070</v>
      </c>
      <c r="N26" s="25">
        <f t="shared" si="12"/>
        <v>7.9086115992970121E-2</v>
      </c>
      <c r="O26" s="100">
        <f t="shared" si="13"/>
        <v>11862.917398945518</v>
      </c>
      <c r="Q26" s="284"/>
      <c r="R26" s="285"/>
      <c r="S26" s="286"/>
    </row>
    <row r="27" spans="1:19" ht="17.25" customHeight="1">
      <c r="A27" s="122" t="s">
        <v>100</v>
      </c>
      <c r="B27" s="123">
        <f t="shared" si="0"/>
        <v>9.58</v>
      </c>
      <c r="C27" s="72">
        <f t="shared" si="1"/>
        <v>0.1062355658</v>
      </c>
      <c r="D27" s="13">
        <f t="shared" si="2"/>
        <v>10.3</v>
      </c>
      <c r="E27" s="14">
        <f t="shared" si="3"/>
        <v>7.5156576200417602E-2</v>
      </c>
      <c r="F27" s="16">
        <f t="shared" si="4"/>
        <v>11273.48643006264</v>
      </c>
      <c r="G27" s="29">
        <f t="shared" si="5"/>
        <v>10.4</v>
      </c>
      <c r="H27" s="14">
        <f t="shared" si="6"/>
        <v>8.5594989561586662E-2</v>
      </c>
      <c r="I27" s="96">
        <f t="shared" si="7"/>
        <v>12839.248434237999</v>
      </c>
      <c r="J27" s="13">
        <f t="shared" si="8"/>
        <v>10.1</v>
      </c>
      <c r="K27" s="14">
        <f t="shared" si="9"/>
        <v>5.4279749478079287E-2</v>
      </c>
      <c r="L27" s="16">
        <f t="shared" si="10"/>
        <v>8141.9624217118926</v>
      </c>
      <c r="M27" s="29">
        <f t="shared" si="11"/>
        <v>9.85</v>
      </c>
      <c r="N27" s="14">
        <f t="shared" si="12"/>
        <v>2.8183716075156531E-2</v>
      </c>
      <c r="O27" s="16">
        <f t="shared" si="13"/>
        <v>4227.5574112734794</v>
      </c>
      <c r="Q27" s="287"/>
      <c r="R27" s="288"/>
      <c r="S27" s="289"/>
    </row>
    <row r="28" spans="1:19" ht="17.25" customHeight="1" thickBot="1">
      <c r="A28" s="124" t="s">
        <v>86</v>
      </c>
      <c r="B28" s="125">
        <f t="shared" si="0"/>
        <v>11500</v>
      </c>
      <c r="C28" s="73">
        <f t="shared" si="1"/>
        <v>0.1047070125</v>
      </c>
      <c r="D28" s="15">
        <f t="shared" si="2"/>
        <v>14260</v>
      </c>
      <c r="E28" s="32">
        <f t="shared" si="3"/>
        <v>0.24</v>
      </c>
      <c r="F28" s="18">
        <f t="shared" si="4"/>
        <v>36000</v>
      </c>
      <c r="G28" s="31">
        <f t="shared" si="5"/>
        <v>14460</v>
      </c>
      <c r="H28" s="32">
        <f t="shared" si="6"/>
        <v>0.25739130434782609</v>
      </c>
      <c r="I28" s="97">
        <f t="shared" si="7"/>
        <v>38608.695652173912</v>
      </c>
      <c r="J28" s="15">
        <f t="shared" si="8"/>
        <v>13830</v>
      </c>
      <c r="K28" s="32">
        <f t="shared" si="9"/>
        <v>0.2026086956521739</v>
      </c>
      <c r="L28" s="18">
        <f t="shared" si="10"/>
        <v>30391.304347826084</v>
      </c>
      <c r="M28" s="31">
        <f t="shared" si="11"/>
        <v>12930</v>
      </c>
      <c r="N28" s="32">
        <f t="shared" si="12"/>
        <v>0.12434782608695652</v>
      </c>
      <c r="O28" s="18">
        <f t="shared" si="13"/>
        <v>18652.173913043476</v>
      </c>
      <c r="Q28" s="290"/>
      <c r="R28" s="291"/>
      <c r="S28" s="292"/>
    </row>
    <row r="29" spans="1:19" ht="17.25" customHeight="1" thickBot="1">
      <c r="A29" s="124" t="s">
        <v>242</v>
      </c>
      <c r="B29" s="125">
        <f t="shared" si="0"/>
        <v>8015</v>
      </c>
      <c r="C29" s="73">
        <f t="shared" si="1"/>
        <v>8.3840432699999995E-2</v>
      </c>
      <c r="D29" s="15">
        <f t="shared" si="2"/>
        <v>9675</v>
      </c>
      <c r="E29" s="32">
        <f t="shared" si="3"/>
        <v>0.20711166562694946</v>
      </c>
      <c r="F29" s="18">
        <f t="shared" si="4"/>
        <v>31066.749844042421</v>
      </c>
      <c r="G29" s="31">
        <f t="shared" si="5"/>
        <v>10180</v>
      </c>
      <c r="H29" s="32">
        <f t="shared" si="6"/>
        <v>0.27011852776044915</v>
      </c>
      <c r="I29" s="97">
        <f t="shared" si="7"/>
        <v>40517.779164067375</v>
      </c>
      <c r="J29" s="15">
        <f t="shared" si="8"/>
        <v>11800</v>
      </c>
      <c r="K29" s="32">
        <f t="shared" si="9"/>
        <v>0.47223955084217095</v>
      </c>
      <c r="L29" s="18">
        <f t="shared" si="10"/>
        <v>70835.932626325637</v>
      </c>
      <c r="M29" s="31">
        <f t="shared" si="11"/>
        <v>13180</v>
      </c>
      <c r="N29" s="32">
        <f t="shared" si="12"/>
        <v>0.64441671865252648</v>
      </c>
      <c r="O29" s="18">
        <f t="shared" si="13"/>
        <v>96662.507797878978</v>
      </c>
      <c r="Q29" s="275"/>
      <c r="R29" s="275"/>
      <c r="S29" s="275"/>
    </row>
    <row r="30" spans="1:19" ht="17.25" customHeight="1" thickBot="1">
      <c r="A30" s="124" t="s">
        <v>72</v>
      </c>
      <c r="B30" s="125">
        <f t="shared" si="0"/>
        <v>39</v>
      </c>
      <c r="C30" s="73">
        <f t="shared" si="1"/>
        <v>7.4380165299999995E-2</v>
      </c>
      <c r="D30" s="15">
        <f t="shared" si="2"/>
        <v>36.5</v>
      </c>
      <c r="E30" s="32">
        <f t="shared" si="3"/>
        <v>-6.4102564102564097E-2</v>
      </c>
      <c r="F30" s="18">
        <f t="shared" si="4"/>
        <v>-9615.3846153846152</v>
      </c>
      <c r="G30" s="31">
        <f t="shared" si="5"/>
        <v>36.799999999999997</v>
      </c>
      <c r="H30" s="32">
        <f t="shared" si="6"/>
        <v>-5.641025641025648E-2</v>
      </c>
      <c r="I30" s="97">
        <f t="shared" si="7"/>
        <v>-8461.5384615384719</v>
      </c>
      <c r="J30" s="15">
        <f t="shared" si="8"/>
        <v>38.1</v>
      </c>
      <c r="K30" s="32">
        <f t="shared" si="9"/>
        <v>-2.307692307692304E-2</v>
      </c>
      <c r="L30" s="18">
        <f t="shared" si="10"/>
        <v>-3461.538461538456</v>
      </c>
      <c r="M30" s="31">
        <f t="shared" si="11"/>
        <v>39.1</v>
      </c>
      <c r="N30" s="32">
        <f t="shared" si="12"/>
        <v>2.5641025641026005E-3</v>
      </c>
      <c r="O30" s="18">
        <f t="shared" si="13"/>
        <v>384.6153846153901</v>
      </c>
      <c r="Q30" s="270"/>
      <c r="R30" s="270"/>
      <c r="S30" s="270"/>
    </row>
    <row r="31" spans="1:19" ht="17.25" customHeight="1" thickBot="1">
      <c r="A31" s="126" t="s">
        <v>104</v>
      </c>
      <c r="B31" s="127">
        <f t="shared" si="0"/>
        <v>2765</v>
      </c>
      <c r="C31" s="74">
        <f t="shared" si="1"/>
        <v>7.3786407799999995E-2</v>
      </c>
      <c r="D31" s="20">
        <f t="shared" si="2"/>
        <v>3210</v>
      </c>
      <c r="E31" s="21">
        <f t="shared" si="3"/>
        <v>0.16094032549728751</v>
      </c>
      <c r="F31" s="22">
        <f t="shared" si="4"/>
        <v>24141.048824593126</v>
      </c>
      <c r="G31" s="30">
        <f t="shared" si="5"/>
        <v>3210</v>
      </c>
      <c r="H31" s="21">
        <f t="shared" si="6"/>
        <v>0.16094032549728751</v>
      </c>
      <c r="I31" s="101">
        <f t="shared" si="7"/>
        <v>24141.048824593126</v>
      </c>
      <c r="J31" s="20">
        <f t="shared" si="8"/>
        <v>3200</v>
      </c>
      <c r="K31" s="21">
        <f t="shared" si="9"/>
        <v>0.15732368896925858</v>
      </c>
      <c r="L31" s="22">
        <f t="shared" si="10"/>
        <v>23598.553345388787</v>
      </c>
      <c r="M31" s="30">
        <f t="shared" si="11"/>
        <v>3060</v>
      </c>
      <c r="N31" s="21">
        <f t="shared" si="12"/>
        <v>0.10669077757685352</v>
      </c>
      <c r="O31" s="22">
        <f t="shared" si="13"/>
        <v>16003.616636528028</v>
      </c>
      <c r="Q31" s="270"/>
      <c r="R31" s="270"/>
      <c r="S31" s="270"/>
    </row>
    <row r="32" spans="1:19" ht="17.25" customHeight="1" thickBot="1">
      <c r="A32" s="124" t="s">
        <v>182</v>
      </c>
      <c r="B32" s="128">
        <f t="shared" si="0"/>
        <v>515</v>
      </c>
      <c r="C32" s="76">
        <f t="shared" si="1"/>
        <v>7.2916666699999994E-2</v>
      </c>
      <c r="D32" s="102">
        <f t="shared" si="2"/>
        <v>498</v>
      </c>
      <c r="E32" s="103">
        <f t="shared" si="3"/>
        <v>-3.3009708737864081E-2</v>
      </c>
      <c r="F32" s="104">
        <f t="shared" si="4"/>
        <v>-4951.4563106796122</v>
      </c>
      <c r="G32" s="105">
        <f t="shared" si="5"/>
        <v>536</v>
      </c>
      <c r="H32" s="103">
        <f t="shared" si="6"/>
        <v>4.0776699029126215E-2</v>
      </c>
      <c r="I32" s="106">
        <f t="shared" si="7"/>
        <v>6116.5048543689327</v>
      </c>
      <c r="J32" s="102">
        <f t="shared" si="8"/>
        <v>559</v>
      </c>
      <c r="K32" s="103">
        <f t="shared" si="9"/>
        <v>8.5436893203883493E-2</v>
      </c>
      <c r="L32" s="104">
        <f t="shared" si="10"/>
        <v>12815.533980582524</v>
      </c>
      <c r="M32" s="105">
        <f t="shared" si="11"/>
        <v>569</v>
      </c>
      <c r="N32" s="103">
        <f t="shared" si="12"/>
        <v>0.10485436893203884</v>
      </c>
      <c r="O32" s="104">
        <f t="shared" si="13"/>
        <v>15728.155339805826</v>
      </c>
      <c r="Q32" s="275"/>
      <c r="R32" s="275"/>
      <c r="S32" s="275"/>
    </row>
    <row r="33" spans="1:19" ht="17.25" customHeight="1" thickBot="1">
      <c r="A33" s="124" t="s">
        <v>132</v>
      </c>
      <c r="B33" s="125">
        <f t="shared" si="0"/>
        <v>265</v>
      </c>
      <c r="C33" s="73">
        <f t="shared" si="1"/>
        <v>6.8548387099999997E-2</v>
      </c>
      <c r="D33" s="15">
        <f t="shared" si="2"/>
        <v>282</v>
      </c>
      <c r="E33" s="32">
        <f t="shared" si="3"/>
        <v>6.4150943396226415E-2</v>
      </c>
      <c r="F33" s="18">
        <f t="shared" si="4"/>
        <v>9622.6415094339627</v>
      </c>
      <c r="G33" s="31">
        <f t="shared" si="5"/>
        <v>287</v>
      </c>
      <c r="H33" s="32">
        <f t="shared" si="6"/>
        <v>8.3018867924528297E-2</v>
      </c>
      <c r="I33" s="97">
        <f t="shared" si="7"/>
        <v>12452.830188679245</v>
      </c>
      <c r="J33" s="15">
        <f t="shared" si="8"/>
        <v>294</v>
      </c>
      <c r="K33" s="32">
        <f t="shared" si="9"/>
        <v>0.10943396226415095</v>
      </c>
      <c r="L33" s="18">
        <f t="shared" si="10"/>
        <v>16415.094339622643</v>
      </c>
      <c r="M33" s="31">
        <f t="shared" si="11"/>
        <v>291</v>
      </c>
      <c r="N33" s="32">
        <f t="shared" si="12"/>
        <v>9.8113207547169817E-2</v>
      </c>
      <c r="O33" s="18">
        <f t="shared" si="13"/>
        <v>14716.981132075472</v>
      </c>
      <c r="Q33" s="275"/>
      <c r="R33" s="275"/>
      <c r="S33" s="275"/>
    </row>
    <row r="34" spans="1:19" ht="17.25" customHeight="1" thickBot="1">
      <c r="A34" s="124" t="s">
        <v>106</v>
      </c>
      <c r="B34" s="125">
        <f t="shared" si="0"/>
        <v>2400</v>
      </c>
      <c r="C34" s="73">
        <f t="shared" si="1"/>
        <v>6.6666666700000002E-2</v>
      </c>
      <c r="D34" s="15">
        <f t="shared" si="2"/>
        <v>2480</v>
      </c>
      <c r="E34" s="32">
        <f t="shared" si="3"/>
        <v>3.3333333333333333E-2</v>
      </c>
      <c r="F34" s="18">
        <f t="shared" si="4"/>
        <v>5000</v>
      </c>
      <c r="G34" s="31">
        <f t="shared" si="5"/>
        <v>2550</v>
      </c>
      <c r="H34" s="32">
        <f t="shared" si="6"/>
        <v>6.25E-2</v>
      </c>
      <c r="I34" s="97">
        <f t="shared" si="7"/>
        <v>9375</v>
      </c>
      <c r="J34" s="15">
        <f t="shared" si="8"/>
        <v>2625</v>
      </c>
      <c r="K34" s="32">
        <f t="shared" si="9"/>
        <v>9.375E-2</v>
      </c>
      <c r="L34" s="18">
        <f t="shared" si="10"/>
        <v>14062.5</v>
      </c>
      <c r="M34" s="31">
        <f t="shared" si="11"/>
        <v>2585</v>
      </c>
      <c r="N34" s="32">
        <f t="shared" si="12"/>
        <v>7.7083333333333337E-2</v>
      </c>
      <c r="O34" s="18">
        <f t="shared" si="13"/>
        <v>11562.5</v>
      </c>
      <c r="Q34" s="275"/>
      <c r="R34" s="275"/>
      <c r="S34" s="275"/>
    </row>
    <row r="35" spans="1:19" ht="17.25" customHeight="1">
      <c r="A35" s="124" t="s">
        <v>118</v>
      </c>
      <c r="B35" s="125">
        <f t="shared" si="0"/>
        <v>7875</v>
      </c>
      <c r="C35" s="73">
        <f t="shared" si="1"/>
        <v>6.2753036400000003E-2</v>
      </c>
      <c r="D35" s="15">
        <f t="shared" si="2"/>
        <v>7340</v>
      </c>
      <c r="E35" s="32">
        <f t="shared" si="3"/>
        <v>-6.7936507936507934E-2</v>
      </c>
      <c r="F35" s="18">
        <f t="shared" si="4"/>
        <v>-10190.476190476191</v>
      </c>
      <c r="G35" s="31">
        <f t="shared" si="5"/>
        <v>7855</v>
      </c>
      <c r="H35" s="32">
        <f t="shared" si="6"/>
        <v>-2.5396825396825397E-3</v>
      </c>
      <c r="I35" s="97">
        <f t="shared" si="7"/>
        <v>-380.95238095238096</v>
      </c>
      <c r="J35" s="15">
        <f t="shared" si="8"/>
        <v>8105</v>
      </c>
      <c r="K35" s="32">
        <f t="shared" si="9"/>
        <v>2.9206349206349208E-2</v>
      </c>
      <c r="L35" s="18">
        <f t="shared" si="10"/>
        <v>4380.9523809523816</v>
      </c>
      <c r="M35" s="31">
        <f t="shared" si="11"/>
        <v>8225</v>
      </c>
      <c r="N35" s="32">
        <f t="shared" si="12"/>
        <v>4.4444444444444446E-2</v>
      </c>
      <c r="O35" s="18">
        <f t="shared" si="13"/>
        <v>6666.666666666667</v>
      </c>
      <c r="Q35" s="297"/>
      <c r="R35" s="298"/>
      <c r="S35" s="299"/>
    </row>
    <row r="36" spans="1:19" ht="17.25" customHeight="1" thickBot="1">
      <c r="A36" s="129" t="s">
        <v>152</v>
      </c>
      <c r="B36" s="130">
        <f t="shared" si="0"/>
        <v>52.3</v>
      </c>
      <c r="C36" s="75">
        <f t="shared" si="1"/>
        <v>6.0851927E-2</v>
      </c>
      <c r="D36" s="24">
        <f t="shared" si="2"/>
        <v>48.2</v>
      </c>
      <c r="E36" s="25">
        <f t="shared" si="3"/>
        <v>-7.8393881453154776E-2</v>
      </c>
      <c r="F36" s="100">
        <f t="shared" si="4"/>
        <v>-11759.082217973217</v>
      </c>
      <c r="G36" s="98">
        <f t="shared" si="5"/>
        <v>52.1</v>
      </c>
      <c r="H36" s="25">
        <f t="shared" si="6"/>
        <v>-3.8240917782025956E-3</v>
      </c>
      <c r="I36" s="99">
        <f t="shared" si="7"/>
        <v>-573.61376673038933</v>
      </c>
      <c r="J36" s="24">
        <f t="shared" si="8"/>
        <v>51.8</v>
      </c>
      <c r="K36" s="25">
        <f t="shared" si="9"/>
        <v>-9.5602294455066923E-3</v>
      </c>
      <c r="L36" s="100">
        <f t="shared" si="10"/>
        <v>-1434.0344168260037</v>
      </c>
      <c r="M36" s="98">
        <f t="shared" si="11"/>
        <v>52.3</v>
      </c>
      <c r="N36" s="25">
        <f t="shared" si="12"/>
        <v>0</v>
      </c>
      <c r="O36" s="100">
        <f t="shared" si="13"/>
        <v>0</v>
      </c>
      <c r="Q36" s="300"/>
      <c r="R36" s="301"/>
      <c r="S36" s="302"/>
    </row>
    <row r="37" spans="1:19" ht="17.25" customHeight="1" thickBot="1">
      <c r="A37" s="131" t="s">
        <v>42</v>
      </c>
      <c r="B37" s="308">
        <v>150000</v>
      </c>
      <c r="C37" s="309"/>
      <c r="D37" s="26" t="s">
        <v>43</v>
      </c>
      <c r="E37" s="27">
        <f>IF(COUNT(E17:E36), SUM(E17:E36) / COUNT(E17:E36), 0)</f>
        <v>4.6464849728928163E-2</v>
      </c>
      <c r="F37" s="28">
        <f>SUM(F17:F36)</f>
        <v>139394.54918678451</v>
      </c>
      <c r="G37" s="26" t="s">
        <v>43</v>
      </c>
      <c r="H37" s="27">
        <f>IF(COUNT(H17:H36), SUM(H17:H36) / COUNT(H17:H36), 0)</f>
        <v>8.3231970016106507E-2</v>
      </c>
      <c r="I37" s="28">
        <f>SUM(I17:I36)</f>
        <v>249695.91004831955</v>
      </c>
      <c r="J37" s="26" t="s">
        <v>43</v>
      </c>
      <c r="K37" s="27">
        <f>IF(COUNT(K17:K36), SUM(K17:K36) / COUNT(K17:K36), 0)</f>
        <v>0.10149469894190226</v>
      </c>
      <c r="L37" s="28">
        <f>SUM(L17:L36)</f>
        <v>304484.09682570671</v>
      </c>
      <c r="M37" s="26" t="s">
        <v>43</v>
      </c>
      <c r="N37" s="27">
        <f>IF(COUNT(N17:N36), SUM(N17:N36) / COUNT(N17:N36), 0)</f>
        <v>9.7218014852521087E-2</v>
      </c>
      <c r="O37" s="28">
        <f>SUM(O17:O36)</f>
        <v>291654.0445575632</v>
      </c>
      <c r="Q37" s="303"/>
      <c r="R37" s="304"/>
      <c r="S37" s="305"/>
    </row>
    <row r="38" spans="1:19" ht="17.25" customHeight="1"/>
    <row r="39" spans="1:19" ht="17.25" customHeight="1" thickBot="1"/>
    <row r="40" spans="1:19" ht="17.25" customHeight="1" thickBot="1">
      <c r="A40" s="249" t="s">
        <v>44</v>
      </c>
      <c r="B40" s="250"/>
      <c r="C40" s="250"/>
      <c r="D40" s="250"/>
      <c r="E40" s="250"/>
      <c r="F40" s="250"/>
      <c r="G40" s="250"/>
      <c r="H40" s="250"/>
      <c r="I40" s="250"/>
      <c r="J40" s="250"/>
      <c r="K40" s="250"/>
      <c r="L40" s="250"/>
      <c r="M40" s="250"/>
      <c r="N40" s="250"/>
      <c r="O40" s="251"/>
      <c r="Q40" s="270"/>
      <c r="R40" s="270"/>
      <c r="S40" s="270"/>
    </row>
    <row r="41" spans="1:19" ht="17.25" customHeight="1" thickBot="1">
      <c r="A41" s="163" t="s">
        <v>298</v>
      </c>
      <c r="B41" s="249" t="s">
        <v>49</v>
      </c>
      <c r="C41" s="251"/>
      <c r="D41" s="249" t="s">
        <v>58</v>
      </c>
      <c r="E41" s="250"/>
      <c r="F41" s="251"/>
      <c r="G41" s="276">
        <f>_xlfn.IFNA(VLOOKUP(B41, 현재가테이블!$B$2:$D$200, 2, FALSE), "-")</f>
        <v>60874000</v>
      </c>
      <c r="H41" s="277"/>
      <c r="I41" s="278"/>
      <c r="J41" s="249" t="s">
        <v>59</v>
      </c>
      <c r="K41" s="250"/>
      <c r="L41" s="251"/>
      <c r="M41" s="279">
        <f>_xlfn.IFNA(VLOOKUP(B41, 현재가테이블!$B$2:$D$200, 3, FALSE), "-")</f>
        <v>-1.4936000099999999E-2</v>
      </c>
      <c r="N41" s="280"/>
      <c r="O41" s="281"/>
      <c r="Q41" s="270"/>
      <c r="R41" s="270"/>
      <c r="S41" s="270"/>
    </row>
    <row r="42" spans="1:19" ht="17.25" customHeight="1" thickBot="1">
      <c r="A42" s="310" t="s">
        <v>55</v>
      </c>
      <c r="B42" s="312" t="str">
        <f>TEXT($G$1, "[$-ko-KR]yyyy-mm-dd(ddd) ") &amp; "오전 00:00"</f>
        <v>2021-05-07(금) 오전 00:00</v>
      </c>
      <c r="C42" s="313"/>
      <c r="D42" s="272" t="str">
        <f>TEXT($G$1, "[$-ko-KR]yyyy-mm-dd(ddd) ") &amp; "오후 14:00"</f>
        <v>2021-05-07(금) 오후 14:00</v>
      </c>
      <c r="E42" s="273"/>
      <c r="F42" s="274"/>
      <c r="G42" s="272" t="str">
        <f>TEXT($G$1, "[$-ko-KR]yyyy-mm-dd(ddd) ") &amp; "오후 19:00"</f>
        <v>2021-05-07(금) 오후 19:00</v>
      </c>
      <c r="H42" s="273"/>
      <c r="I42" s="274"/>
      <c r="J42" s="272" t="str">
        <f>TEXT($G$1, "[$-ko-KR]yyyy-mm-dd(ddd) ") &amp; "오후 21:00"</f>
        <v>2021-05-07(금) 오후 21:00</v>
      </c>
      <c r="K42" s="273"/>
      <c r="L42" s="274"/>
      <c r="M42" s="272" t="str">
        <f>TEXT($G$1+1, "[$-ko-KR]yyyy-mm-dd(ddd) ") &amp; "오전 00:00"</f>
        <v>2021-05-08(토) 오전 00:00</v>
      </c>
      <c r="N42" s="273"/>
      <c r="O42" s="274"/>
      <c r="Q42" s="270"/>
      <c r="R42" s="270"/>
      <c r="S42" s="270"/>
    </row>
    <row r="43" spans="1:19" ht="17.25" customHeight="1" thickBot="1">
      <c r="A43" s="311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4" t="s">
        <v>58</v>
      </c>
      <c r="H43" s="165" t="s">
        <v>299</v>
      </c>
      <c r="I43" s="166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75"/>
      <c r="R43" s="275"/>
      <c r="S43" s="275"/>
    </row>
    <row r="44" spans="1:19" ht="17.25" customHeight="1" thickBot="1">
      <c r="A44" s="122" t="s">
        <v>100</v>
      </c>
      <c r="B44" s="123">
        <v>9.58</v>
      </c>
      <c r="C44" s="72">
        <v>0.1062355658</v>
      </c>
      <c r="D44" s="13">
        <v>10.3</v>
      </c>
      <c r="E44" s="14">
        <f>IF(ISNUMBER(D44), (D44 - $B44) / $B44, "")</f>
        <v>7.5156576200417602E-2</v>
      </c>
      <c r="F44" s="16">
        <f>IF(ISNUMBER(D44), $B64 * E44, "")</f>
        <v>11273.48643006264</v>
      </c>
      <c r="G44" s="29">
        <v>10.4</v>
      </c>
      <c r="H44" s="14">
        <f>IF(ISNUMBER(G44), (G44 - $B44) / $B44, "")</f>
        <v>8.5594989561586662E-2</v>
      </c>
      <c r="I44" s="96">
        <f>IF(ISNUMBER(G44), $B64 * H44, "")</f>
        <v>12839.248434237999</v>
      </c>
      <c r="J44" s="13">
        <v>10.1</v>
      </c>
      <c r="K44" s="14">
        <f>IF(ISNUMBER(J44), (J44 - $B44) / $B44, "")</f>
        <v>5.4279749478079287E-2</v>
      </c>
      <c r="L44" s="16">
        <f>IF(ISNUMBER(J44), $B64 * K44, "")</f>
        <v>8141.9624217118926</v>
      </c>
      <c r="M44" s="29">
        <v>9.85</v>
      </c>
      <c r="N44" s="14">
        <f>IF(ISNUMBER(M44), (M44 - $B44) / $B44, "")</f>
        <v>2.8183716075156531E-2</v>
      </c>
      <c r="O44" s="16">
        <f>IF(ISNUMBER(M44), $B64 * N44, "")</f>
        <v>4227.5574112734794</v>
      </c>
      <c r="Q44" s="270"/>
      <c r="R44" s="270"/>
      <c r="S44" s="270"/>
    </row>
    <row r="45" spans="1:19" ht="17.25" customHeight="1" thickBot="1">
      <c r="A45" s="124" t="s">
        <v>72</v>
      </c>
      <c r="B45" s="125">
        <v>39</v>
      </c>
      <c r="C45" s="73">
        <v>7.4380165299999995E-2</v>
      </c>
      <c r="D45" s="15">
        <v>36.5</v>
      </c>
      <c r="E45" s="32">
        <f t="shared" ref="E45:E48" si="14">IF(ISNUMBER(D45), (D45 - $B45) / $B45, "")</f>
        <v>-6.4102564102564097E-2</v>
      </c>
      <c r="F45" s="18">
        <f>IF(ISNUMBER(D45), $B64 * E45, "")</f>
        <v>-9615.3846153846152</v>
      </c>
      <c r="G45" s="31">
        <v>36.799999999999997</v>
      </c>
      <c r="H45" s="32">
        <f t="shared" ref="H45:H48" si="15">IF(ISNUMBER(G45), (G45 - $B45) / $B45, "")</f>
        <v>-5.641025641025648E-2</v>
      </c>
      <c r="I45" s="97">
        <f>IF(ISNUMBER(G45), $B64 * H45, "")</f>
        <v>-8461.5384615384719</v>
      </c>
      <c r="J45" s="15">
        <v>38.1</v>
      </c>
      <c r="K45" s="32">
        <f t="shared" ref="K45:K48" si="16">IF(ISNUMBER(J45), (J45 - $B45) / $B45, "")</f>
        <v>-2.307692307692304E-2</v>
      </c>
      <c r="L45" s="18">
        <f>IF(ISNUMBER(J45), $B64 * K45, "")</f>
        <v>-3461.538461538456</v>
      </c>
      <c r="M45" s="31">
        <v>39.1</v>
      </c>
      <c r="N45" s="32">
        <f t="shared" ref="N45:N48" si="17">IF(ISNUMBER(M45), (M45 - $B45) / $B45, "")</f>
        <v>2.5641025641026005E-3</v>
      </c>
      <c r="O45" s="18">
        <f>IF(ISNUMBER(M45), $B64 * N45, "")</f>
        <v>384.6153846153901</v>
      </c>
      <c r="Q45" s="270"/>
      <c r="R45" s="270"/>
      <c r="S45" s="270"/>
    </row>
    <row r="46" spans="1:19" ht="17.25" customHeight="1" thickBot="1">
      <c r="A46" s="124" t="s">
        <v>152</v>
      </c>
      <c r="B46" s="125">
        <v>52.3</v>
      </c>
      <c r="C46" s="73">
        <v>6.0851927E-2</v>
      </c>
      <c r="D46" s="15">
        <v>48.2</v>
      </c>
      <c r="E46" s="32">
        <f t="shared" si="14"/>
        <v>-7.8393881453154776E-2</v>
      </c>
      <c r="F46" s="18">
        <f>IF(ISNUMBER(D46), $B64 * E46, "")</f>
        <v>-11759.082217973217</v>
      </c>
      <c r="G46" s="31">
        <v>52.1</v>
      </c>
      <c r="H46" s="32">
        <f t="shared" si="15"/>
        <v>-3.8240917782025956E-3</v>
      </c>
      <c r="I46" s="97">
        <f>IF(ISNUMBER(G46), $B64 * H46, "")</f>
        <v>-573.61376673038933</v>
      </c>
      <c r="J46" s="15">
        <v>51.8</v>
      </c>
      <c r="K46" s="32">
        <f t="shared" si="16"/>
        <v>-9.5602294455066923E-3</v>
      </c>
      <c r="L46" s="18">
        <f>IF(ISNUMBER(J46), $B64 * K46, "")</f>
        <v>-1434.0344168260037</v>
      </c>
      <c r="M46" s="31">
        <v>52.3</v>
      </c>
      <c r="N46" s="32">
        <f t="shared" si="17"/>
        <v>0</v>
      </c>
      <c r="O46" s="18">
        <f>IF(ISNUMBER(M46), $B64 * N46, "")</f>
        <v>0</v>
      </c>
      <c r="Q46" s="275"/>
      <c r="R46" s="275"/>
      <c r="S46" s="275"/>
    </row>
    <row r="47" spans="1:19" ht="17.25" customHeight="1" thickBot="1">
      <c r="A47" s="124" t="s">
        <v>65</v>
      </c>
      <c r="B47" s="125">
        <v>76.400000000000006</v>
      </c>
      <c r="C47" s="73">
        <v>3.3829499300000003E-2</v>
      </c>
      <c r="D47" s="15">
        <v>80.099999999999994</v>
      </c>
      <c r="E47" s="32">
        <f t="shared" si="14"/>
        <v>4.8429319371727599E-2</v>
      </c>
      <c r="F47" s="18">
        <f>IF(ISNUMBER(D47), $B64 * E47, "")</f>
        <v>7264.3979057591396</v>
      </c>
      <c r="G47" s="31">
        <v>81</v>
      </c>
      <c r="H47" s="32">
        <f t="shared" si="15"/>
        <v>6.0209424083769551E-2</v>
      </c>
      <c r="I47" s="97">
        <f>IF(ISNUMBER(G47), $B64 * H47, "")</f>
        <v>9031.4136125654331</v>
      </c>
      <c r="J47" s="15">
        <v>83.6</v>
      </c>
      <c r="K47" s="32">
        <f t="shared" si="16"/>
        <v>9.4240837696334928E-2</v>
      </c>
      <c r="L47" s="18">
        <f>IF(ISNUMBER(J47), $B64 * K47, "")</f>
        <v>14136.125654450239</v>
      </c>
      <c r="M47" s="31">
        <v>84.8</v>
      </c>
      <c r="N47" s="32">
        <f t="shared" si="17"/>
        <v>0.10994764397905747</v>
      </c>
      <c r="O47" s="18">
        <f>IF(ISNUMBER(M47), $B64 * N47, "")</f>
        <v>16492.14659685862</v>
      </c>
      <c r="Q47" s="275"/>
      <c r="R47" s="275"/>
      <c r="S47" s="275"/>
    </row>
    <row r="48" spans="1:19" ht="17.25" customHeight="1" thickBot="1">
      <c r="A48" s="126" t="s">
        <v>222</v>
      </c>
      <c r="B48" s="127">
        <v>18.8</v>
      </c>
      <c r="C48" s="74">
        <v>-1.05263158E-2</v>
      </c>
      <c r="D48" s="20">
        <v>17.600000000000001</v>
      </c>
      <c r="E48" s="21">
        <f t="shared" si="14"/>
        <v>-6.3829787234042507E-2</v>
      </c>
      <c r="F48" s="22">
        <f>IF(ISNUMBER(D48), $B64 * E48, "")</f>
        <v>-9574.4680851063767</v>
      </c>
      <c r="G48" s="30">
        <v>18.600000000000001</v>
      </c>
      <c r="H48" s="21">
        <f t="shared" si="15"/>
        <v>-1.0638297872340387E-2</v>
      </c>
      <c r="I48" s="101">
        <f>IF(ISNUMBER(G48), $B64 * H48, "")</f>
        <v>-1595.7446808510581</v>
      </c>
      <c r="J48" s="20">
        <v>18.600000000000001</v>
      </c>
      <c r="K48" s="21">
        <f t="shared" si="16"/>
        <v>-1.0638297872340387E-2</v>
      </c>
      <c r="L48" s="22">
        <f>IF(ISNUMBER(J48), $B64 * K48, "")</f>
        <v>-1595.7446808510581</v>
      </c>
      <c r="M48" s="30">
        <v>18.899999999999999</v>
      </c>
      <c r="N48" s="21">
        <f t="shared" si="17"/>
        <v>5.319148936170099E-3</v>
      </c>
      <c r="O48" s="22">
        <f>IF(ISNUMBER(M48), $B64 * N48, "")</f>
        <v>797.87234042551484</v>
      </c>
      <c r="Q48" s="275"/>
      <c r="R48" s="275"/>
      <c r="S48" s="275"/>
    </row>
    <row r="49" spans="1:19" ht="17.25" customHeight="1" thickBot="1">
      <c r="A49" s="124" t="s">
        <v>126</v>
      </c>
      <c r="B49" s="128">
        <v>63.3</v>
      </c>
      <c r="C49" s="76">
        <v>-1.0937499999999999E-2</v>
      </c>
      <c r="D49" s="102">
        <v>59.1</v>
      </c>
      <c r="E49" s="103">
        <f>IF(ISNUMBER(D49), (D49 - $B49) / $B49, "")</f>
        <v>-6.6350710900473869E-2</v>
      </c>
      <c r="F49" s="104">
        <f>IF(ISNUMBER(D49), $B64 * E49, "")</f>
        <v>-9952.6066350710807</v>
      </c>
      <c r="G49" s="105">
        <v>61</v>
      </c>
      <c r="H49" s="103">
        <f>IF(ISNUMBER(G49), (G49 - $B49) / $B49, "")</f>
        <v>-3.6334913112164254E-2</v>
      </c>
      <c r="I49" s="106">
        <f>IF(ISNUMBER(G49), $B64 * H49, "")</f>
        <v>-5450.2369668246383</v>
      </c>
      <c r="J49" s="102">
        <v>61.8</v>
      </c>
      <c r="K49" s="103">
        <f>IF(ISNUMBER(J49), (J49 - $B49) / $B49, "")</f>
        <v>-2.3696682464454978E-2</v>
      </c>
      <c r="L49" s="104">
        <f>IF(ISNUMBER(J49), $B64 * K49, "")</f>
        <v>-3554.5023696682465</v>
      </c>
      <c r="M49" s="105">
        <v>61</v>
      </c>
      <c r="N49" s="103">
        <f>IF(ISNUMBER(M49), (M49 - $B49) / $B49, "")</f>
        <v>-3.6334913112164254E-2</v>
      </c>
      <c r="O49" s="104">
        <f>IF(ISNUMBER(M49), $B64 * N49, "")</f>
        <v>-5450.2369668246383</v>
      </c>
      <c r="Q49" s="275"/>
      <c r="R49" s="275"/>
      <c r="S49" s="275"/>
    </row>
    <row r="50" spans="1:19" ht="17.25" customHeight="1" thickBot="1">
      <c r="A50" s="124" t="s">
        <v>196</v>
      </c>
      <c r="B50" s="125">
        <v>20.5</v>
      </c>
      <c r="C50" s="73">
        <v>-1.44230769E-2</v>
      </c>
      <c r="D50" s="15">
        <v>19.399999999999999</v>
      </c>
      <c r="E50" s="32">
        <f t="shared" ref="E50:E53" si="18">IF(ISNUMBER(D50), (D50 - $B50) / $B50, "")</f>
        <v>-5.3658536585365922E-2</v>
      </c>
      <c r="F50" s="18">
        <f>IF(ISNUMBER(D50), $B64 * E50, "")</f>
        <v>-8048.7804878048883</v>
      </c>
      <c r="G50" s="31">
        <v>19.5</v>
      </c>
      <c r="H50" s="32">
        <f t="shared" ref="H50:H53" si="19">IF(ISNUMBER(G50), (G50 - $B50) / $B50, "")</f>
        <v>-4.878048780487805E-2</v>
      </c>
      <c r="I50" s="97">
        <f>IF(ISNUMBER(G50), $B64 * H50, "")</f>
        <v>-7317.0731707317073</v>
      </c>
      <c r="J50" s="15">
        <v>20.5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20.6</v>
      </c>
      <c r="N50" s="32">
        <f t="shared" ref="N50:N53" si="21">IF(ISNUMBER(M50), (M50 - $B50) / $B50, "")</f>
        <v>4.8780487804878743E-3</v>
      </c>
      <c r="O50" s="18">
        <f>IF(ISNUMBER(M50), $B64 * N50, "")</f>
        <v>731.70731707318112</v>
      </c>
      <c r="Q50" s="275"/>
      <c r="R50" s="275"/>
      <c r="S50" s="275"/>
    </row>
    <row r="51" spans="1:19" ht="17.25" customHeight="1" thickBot="1">
      <c r="A51" s="124" t="s">
        <v>186</v>
      </c>
      <c r="B51" s="125">
        <v>25.3</v>
      </c>
      <c r="C51" s="73">
        <v>-3.4351145E-2</v>
      </c>
      <c r="D51" s="15">
        <v>23.9</v>
      </c>
      <c r="E51" s="32">
        <f t="shared" si="18"/>
        <v>-5.5335968379446723E-2</v>
      </c>
      <c r="F51" s="18">
        <f>IF(ISNUMBER(D51), $B64 * E51, "")</f>
        <v>-8300.3952569170087</v>
      </c>
      <c r="G51" s="31">
        <v>24.1</v>
      </c>
      <c r="H51" s="32">
        <f t="shared" si="19"/>
        <v>-4.7430830039525661E-2</v>
      </c>
      <c r="I51" s="97">
        <f>IF(ISNUMBER(G51), $B64 * H51, "")</f>
        <v>-7114.6245059288494</v>
      </c>
      <c r="J51" s="15">
        <v>25.4</v>
      </c>
      <c r="K51" s="32">
        <f t="shared" si="20"/>
        <v>3.9525691699603899E-3</v>
      </c>
      <c r="L51" s="18">
        <f>IF(ISNUMBER(J51), $B64 * K51, "")</f>
        <v>592.88537549405851</v>
      </c>
      <c r="M51" s="31">
        <v>25.3</v>
      </c>
      <c r="N51" s="32">
        <f t="shared" si="21"/>
        <v>0</v>
      </c>
      <c r="O51" s="18">
        <f>IF(ISNUMBER(M51), $B64 * N51, "")</f>
        <v>0</v>
      </c>
      <c r="Q51" s="275"/>
      <c r="R51" s="275"/>
      <c r="S51" s="275"/>
    </row>
    <row r="52" spans="1:19" ht="17.25" customHeight="1" thickBot="1">
      <c r="A52" s="124" t="s">
        <v>236</v>
      </c>
      <c r="B52" s="125">
        <v>68.3</v>
      </c>
      <c r="C52" s="73">
        <v>-3.5310734500000003E-2</v>
      </c>
      <c r="D52" s="15">
        <v>62.7</v>
      </c>
      <c r="E52" s="32">
        <f t="shared" si="18"/>
        <v>-8.199121522693989E-2</v>
      </c>
      <c r="F52" s="18">
        <f>IF(ISNUMBER(D52), $B64 * E52, "")</f>
        <v>-12298.682284040984</v>
      </c>
      <c r="G52" s="31">
        <v>65.2</v>
      </c>
      <c r="H52" s="32">
        <f t="shared" si="19"/>
        <v>-4.5387994143484545E-2</v>
      </c>
      <c r="I52" s="97">
        <f>IF(ISNUMBER(G52), $B64 * H52, "")</f>
        <v>-6808.1991215226817</v>
      </c>
      <c r="J52" s="15">
        <v>68.3</v>
      </c>
      <c r="K52" s="32">
        <f t="shared" si="20"/>
        <v>0</v>
      </c>
      <c r="L52" s="18">
        <f>IF(ISNUMBER(J52), $B64 * K52, "")</f>
        <v>0</v>
      </c>
      <c r="M52" s="31">
        <v>69.3</v>
      </c>
      <c r="N52" s="32">
        <f t="shared" si="21"/>
        <v>1.4641288433382138E-2</v>
      </c>
      <c r="O52" s="18">
        <f>IF(ISNUMBER(M52), $B64 * N52, "")</f>
        <v>2196.1932650073209</v>
      </c>
      <c r="Q52" s="33"/>
      <c r="R52" s="33"/>
    </row>
    <row r="53" spans="1:19" ht="17.25" customHeight="1" thickBot="1">
      <c r="A53" s="129" t="s">
        <v>198</v>
      </c>
      <c r="B53" s="130">
        <v>28.3</v>
      </c>
      <c r="C53" s="75">
        <v>-3.7414966000000001E-2</v>
      </c>
      <c r="D53" s="24">
        <v>25.9</v>
      </c>
      <c r="E53" s="25">
        <f t="shared" si="18"/>
        <v>-8.4805653710247425E-2</v>
      </c>
      <c r="F53" s="100">
        <f>IF(ISNUMBER(D53), $B64 * E53, "")</f>
        <v>-12720.848056537114</v>
      </c>
      <c r="G53" s="98">
        <v>26.7</v>
      </c>
      <c r="H53" s="25">
        <f t="shared" si="19"/>
        <v>-5.6537102473498281E-2</v>
      </c>
      <c r="I53" s="99">
        <f>IF(ISNUMBER(G53), $B64 * H53, "")</f>
        <v>-8480.5653710247425</v>
      </c>
      <c r="J53" s="24">
        <v>27.8</v>
      </c>
      <c r="K53" s="25">
        <f t="shared" si="20"/>
        <v>-1.7667844522968199E-2</v>
      </c>
      <c r="L53" s="100">
        <f>IF(ISNUMBER(J53), $B64 * K53, "")</f>
        <v>-2650.1766784452298</v>
      </c>
      <c r="M53" s="98">
        <v>28.1</v>
      </c>
      <c r="N53" s="25">
        <f t="shared" si="21"/>
        <v>-7.0671378091872539E-3</v>
      </c>
      <c r="O53" s="100">
        <f>IF(ISNUMBER(M53), $B64 * N53, "")</f>
        <v>-1060.070671378088</v>
      </c>
      <c r="Q53" s="284"/>
      <c r="R53" s="285"/>
      <c r="S53" s="286"/>
    </row>
    <row r="54" spans="1:19" ht="17.25" customHeight="1">
      <c r="A54" s="122" t="s">
        <v>172</v>
      </c>
      <c r="B54" s="123">
        <v>25.2</v>
      </c>
      <c r="C54" s="72">
        <v>-3.8167938899999997E-2</v>
      </c>
      <c r="D54" s="13">
        <v>23</v>
      </c>
      <c r="E54" s="14">
        <f>IF(ISNUMBER(D54), (D54 - $B54) / $B54, "")</f>
        <v>-8.7301587301587269E-2</v>
      </c>
      <c r="F54" s="16">
        <f>IF(ISNUMBER(D54), $B64 * E54, "")</f>
        <v>-13095.23809523809</v>
      </c>
      <c r="G54" s="29">
        <v>23.5</v>
      </c>
      <c r="H54" s="14">
        <f>IF(ISNUMBER(G54), (G54 - $B54) / $B54, "")</f>
        <v>-6.7460317460317429E-2</v>
      </c>
      <c r="I54" s="96">
        <f>IF(ISNUMBER(G54), $B64 * H54, "")</f>
        <v>-10119.047619047615</v>
      </c>
      <c r="J54" s="13">
        <v>24.3</v>
      </c>
      <c r="K54" s="14">
        <f>IF(ISNUMBER(J54), (J54 - $B54) / $B54, "")</f>
        <v>-3.5714285714285657E-2</v>
      </c>
      <c r="L54" s="16">
        <f>IF(ISNUMBER(J54), $B64 * K54, "")</f>
        <v>-5357.1428571428487</v>
      </c>
      <c r="M54" s="29">
        <v>25.9</v>
      </c>
      <c r="N54" s="14">
        <f>IF(ISNUMBER(M54), (M54 - $B54) / $B54, "")</f>
        <v>2.7777777777777752E-2</v>
      </c>
      <c r="O54" s="16">
        <f>IF(ISNUMBER(M54), $B64 * N54, "")</f>
        <v>4166.6666666666624</v>
      </c>
      <c r="Q54" s="287"/>
      <c r="R54" s="288"/>
      <c r="S54" s="289"/>
    </row>
    <row r="55" spans="1:19" ht="17.25" customHeight="1" thickBot="1">
      <c r="A55" s="124" t="s">
        <v>214</v>
      </c>
      <c r="B55" s="125">
        <v>22.2</v>
      </c>
      <c r="C55" s="73">
        <v>-3.8961039000000003E-2</v>
      </c>
      <c r="D55" s="15">
        <v>20.3</v>
      </c>
      <c r="E55" s="32">
        <f t="shared" ref="E55:E58" si="22">IF(ISNUMBER(D55), (D55 - $B55) / $B55, "")</f>
        <v>-8.558558558558553E-2</v>
      </c>
      <c r="F55" s="18">
        <f>IF(ISNUMBER(D55), $B64 * E55, "")</f>
        <v>-12837.837837837829</v>
      </c>
      <c r="G55" s="31">
        <v>20.6</v>
      </c>
      <c r="H55" s="32">
        <f t="shared" ref="H55:H58" si="23">IF(ISNUMBER(G55), (G55 - $B55) / $B55, "")</f>
        <v>-7.2072072072071974E-2</v>
      </c>
      <c r="I55" s="97">
        <f>IF(ISNUMBER(G55), $B64 * H55, "")</f>
        <v>-10810.810810810795</v>
      </c>
      <c r="J55" s="15">
        <v>21.7</v>
      </c>
      <c r="K55" s="32">
        <f t="shared" ref="K55:K58" si="24">IF(ISNUMBER(J55), (J55 - $B55) / $B55, "")</f>
        <v>-2.2522522522522525E-2</v>
      </c>
      <c r="L55" s="18">
        <f>IF(ISNUMBER(J55), $B64 * K55, "")</f>
        <v>-3378.3783783783788</v>
      </c>
      <c r="M55" s="31">
        <v>22.1</v>
      </c>
      <c r="N55" s="32">
        <f t="shared" ref="N55:N58" si="25">IF(ISNUMBER(M55), (M55 - $B55) / $B55, "")</f>
        <v>-4.5045045045044091E-3</v>
      </c>
      <c r="O55" s="18">
        <f>IF(ISNUMBER(M55), $B64 * N55, "")</f>
        <v>-675.67567567566141</v>
      </c>
      <c r="Q55" s="290"/>
      <c r="R55" s="291"/>
      <c r="S55" s="292"/>
    </row>
    <row r="56" spans="1:19" ht="17.25" customHeight="1" thickBot="1">
      <c r="A56" s="124" t="s">
        <v>218</v>
      </c>
      <c r="B56" s="125">
        <v>28.5</v>
      </c>
      <c r="C56" s="73">
        <v>-4.0404040400000001E-2</v>
      </c>
      <c r="D56" s="15">
        <v>25.7</v>
      </c>
      <c r="E56" s="32">
        <f t="shared" si="22"/>
        <v>-9.8245614035087747E-2</v>
      </c>
      <c r="F56" s="18">
        <f>IF(ISNUMBER(D56), $B64 * E56, "")</f>
        <v>-14736.842105263162</v>
      </c>
      <c r="G56" s="31">
        <v>26.5</v>
      </c>
      <c r="H56" s="32">
        <f t="shared" si="23"/>
        <v>-7.0175438596491224E-2</v>
      </c>
      <c r="I56" s="97">
        <f>IF(ISNUMBER(G56), $B64 * H56, "")</f>
        <v>-10526.315789473683</v>
      </c>
      <c r="J56" s="15">
        <v>28.2</v>
      </c>
      <c r="K56" s="32">
        <f t="shared" si="24"/>
        <v>-1.052631578947371E-2</v>
      </c>
      <c r="L56" s="18">
        <f>IF(ISNUMBER(J56), $B64 * K56, "")</f>
        <v>-1578.9473684210566</v>
      </c>
      <c r="M56" s="31">
        <v>29.1</v>
      </c>
      <c r="N56" s="32">
        <f t="shared" si="25"/>
        <v>2.105263157894742E-2</v>
      </c>
      <c r="O56" s="18">
        <f>IF(ISNUMBER(M56), $B64 * N56, "")</f>
        <v>3157.8947368421132</v>
      </c>
      <c r="Q56" s="275"/>
      <c r="R56" s="275"/>
      <c r="S56" s="275"/>
    </row>
    <row r="57" spans="1:19" ht="17.25" customHeight="1" thickBot="1">
      <c r="A57" s="124" t="s">
        <v>154</v>
      </c>
      <c r="B57" s="125">
        <v>21.1</v>
      </c>
      <c r="C57" s="73">
        <v>-4.09090909E-2</v>
      </c>
      <c r="D57" s="15">
        <v>19.399999999999999</v>
      </c>
      <c r="E57" s="32">
        <f t="shared" si="22"/>
        <v>-8.0568720379147044E-2</v>
      </c>
      <c r="F57" s="18">
        <f>IF(ISNUMBER(D57), $B64 * E57, "")</f>
        <v>-12085.308056872056</v>
      </c>
      <c r="G57" s="31">
        <v>19.899999999999999</v>
      </c>
      <c r="H57" s="32">
        <f t="shared" si="23"/>
        <v>-5.6872037914692072E-2</v>
      </c>
      <c r="I57" s="97">
        <f>IF(ISNUMBER(G57), $B64 * H57, "")</f>
        <v>-8530.8056872038105</v>
      </c>
      <c r="J57" s="15">
        <v>20.7</v>
      </c>
      <c r="K57" s="32">
        <f t="shared" si="24"/>
        <v>-1.895734597156408E-2</v>
      </c>
      <c r="L57" s="18">
        <f>IF(ISNUMBER(J57), $B64 * K57, "")</f>
        <v>-2843.6018957346118</v>
      </c>
      <c r="M57" s="31">
        <v>20.8</v>
      </c>
      <c r="N57" s="32">
        <f t="shared" si="25"/>
        <v>-1.4218009478673018E-2</v>
      </c>
      <c r="O57" s="18">
        <f>IF(ISNUMBER(M57), $B64 * N57, "")</f>
        <v>-2132.7014218009526</v>
      </c>
      <c r="Q57" s="270"/>
      <c r="R57" s="270"/>
      <c r="S57" s="270"/>
    </row>
    <row r="58" spans="1:19" ht="17.25" customHeight="1" thickBot="1">
      <c r="A58" s="126" t="s">
        <v>228</v>
      </c>
      <c r="B58" s="127">
        <v>18.399999999999999</v>
      </c>
      <c r="C58" s="74">
        <v>-4.16666667E-2</v>
      </c>
      <c r="D58" s="20">
        <v>17.399999999999999</v>
      </c>
      <c r="E58" s="21">
        <f t="shared" si="22"/>
        <v>-5.4347826086956527E-2</v>
      </c>
      <c r="F58" s="22">
        <f>IF(ISNUMBER(D58), $B64 * E58, "")</f>
        <v>-8152.1739130434789</v>
      </c>
      <c r="G58" s="30">
        <v>17.600000000000001</v>
      </c>
      <c r="H58" s="21">
        <f t="shared" si="23"/>
        <v>-4.3478260869565064E-2</v>
      </c>
      <c r="I58" s="101">
        <f>IF(ISNUMBER(G58), $B64 * H58, "")</f>
        <v>-6521.7391304347593</v>
      </c>
      <c r="J58" s="20">
        <v>18.3</v>
      </c>
      <c r="K58" s="21">
        <f t="shared" si="24"/>
        <v>-5.4347826086955367E-3</v>
      </c>
      <c r="L58" s="22">
        <f>IF(ISNUMBER(J58), $B64 * K58, "")</f>
        <v>-815.21739130433048</v>
      </c>
      <c r="M58" s="30">
        <v>18.3</v>
      </c>
      <c r="N58" s="21">
        <f t="shared" si="25"/>
        <v>-5.4347826086955367E-3</v>
      </c>
      <c r="O58" s="22">
        <f>IF(ISNUMBER(M58), $B64 * N58, "")</f>
        <v>-815.21739130433048</v>
      </c>
      <c r="Q58" s="270"/>
      <c r="R58" s="270"/>
      <c r="S58" s="270"/>
    </row>
    <row r="59" spans="1:19" ht="17.25" customHeight="1" thickBot="1">
      <c r="A59" s="124" t="s">
        <v>268</v>
      </c>
      <c r="B59" s="128">
        <v>96.1</v>
      </c>
      <c r="C59" s="76">
        <v>-4.8514851499999997E-2</v>
      </c>
      <c r="D59" s="102">
        <v>89.1</v>
      </c>
      <c r="E59" s="103">
        <f>IF(ISNUMBER(D59), (D59 - $B59) / $B59, "")</f>
        <v>-7.2840790842872011E-2</v>
      </c>
      <c r="F59" s="104">
        <f>IF(ISNUMBER(D59), $B64 * E59, "")</f>
        <v>-10926.118626430802</v>
      </c>
      <c r="G59" s="105">
        <v>89.9</v>
      </c>
      <c r="H59" s="103">
        <f>IF(ISNUMBER(G59), (G59 - $B59) / $B59, "")</f>
        <v>-6.4516129032257952E-2</v>
      </c>
      <c r="I59" s="106">
        <f>IF(ISNUMBER(G59), $B64 * H59, "")</f>
        <v>-9677.419354838692</v>
      </c>
      <c r="J59" s="102">
        <v>93.1</v>
      </c>
      <c r="K59" s="103">
        <f>IF(ISNUMBER(J59), (J59 - $B59) / $B59, "")</f>
        <v>-3.1217481789802291E-2</v>
      </c>
      <c r="L59" s="104">
        <f>IF(ISNUMBER(J59), $B64 * K59, "")</f>
        <v>-4682.6222684703434</v>
      </c>
      <c r="M59" s="105">
        <v>93.4</v>
      </c>
      <c r="N59" s="103">
        <f>IF(ISNUMBER(M59), (M59 - $B59) / $B59, "")</f>
        <v>-2.8095733610821943E-2</v>
      </c>
      <c r="O59" s="104">
        <f>IF(ISNUMBER(M59), $B64 * N59, "")</f>
        <v>-4214.3600416232912</v>
      </c>
      <c r="Q59" s="275"/>
      <c r="R59" s="275"/>
      <c r="S59" s="275"/>
    </row>
    <row r="60" spans="1:19" ht="17.25" customHeight="1" thickBot="1">
      <c r="A60" s="124" t="s">
        <v>254</v>
      </c>
      <c r="B60" s="125">
        <v>86</v>
      </c>
      <c r="C60" s="73">
        <v>-4.8672566399999999E-2</v>
      </c>
      <c r="D60" s="15">
        <v>79.7</v>
      </c>
      <c r="E60" s="32">
        <f t="shared" ref="E60:E63" si="26">IF(ISNUMBER(D60), (D60 - $B60) / $B60, "")</f>
        <v>-7.3255813953488333E-2</v>
      </c>
      <c r="F60" s="18">
        <f>IF(ISNUMBER(D60), $B64 * E60, "")</f>
        <v>-10988.37209302325</v>
      </c>
      <c r="G60" s="31">
        <v>80.5</v>
      </c>
      <c r="H60" s="32">
        <f t="shared" ref="H60:H63" si="27">IF(ISNUMBER(G60), (G60 - $B60) / $B60, "")</f>
        <v>-6.3953488372093026E-2</v>
      </c>
      <c r="I60" s="97">
        <f>IF(ISNUMBER(G60), $B64 * H60, "")</f>
        <v>-9593.0232558139542</v>
      </c>
      <c r="J60" s="15">
        <v>83</v>
      </c>
      <c r="K60" s="32">
        <f t="shared" ref="K60:K63" si="28">IF(ISNUMBER(J60), (J60 - $B60) / $B60, "")</f>
        <v>-3.4883720930232558E-2</v>
      </c>
      <c r="L60" s="18">
        <f>IF(ISNUMBER(J60), $B64 * K60, "")</f>
        <v>-5232.5581395348836</v>
      </c>
      <c r="M60" s="31">
        <v>83.8</v>
      </c>
      <c r="N60" s="32">
        <f t="shared" ref="N60:N63" si="29">IF(ISNUMBER(M60), (M60 - $B60) / $B60, "")</f>
        <v>-2.5581395348837244E-2</v>
      </c>
      <c r="O60" s="18">
        <f>IF(ISNUMBER(M60), $B64 * N60, "")</f>
        <v>-3837.2093023255866</v>
      </c>
      <c r="Q60" s="275"/>
      <c r="R60" s="275"/>
      <c r="S60" s="275"/>
    </row>
    <row r="61" spans="1:19" ht="17.25" customHeight="1" thickBot="1">
      <c r="A61" s="124" t="s">
        <v>220</v>
      </c>
      <c r="B61" s="125">
        <v>21.2</v>
      </c>
      <c r="C61" s="73">
        <v>-4.9327354300000001E-2</v>
      </c>
      <c r="D61" s="15">
        <v>19.5</v>
      </c>
      <c r="E61" s="32">
        <f t="shared" si="26"/>
        <v>-8.0188679245282987E-2</v>
      </c>
      <c r="F61" s="18">
        <f>IF(ISNUMBER(D61), $B64 * E61, "")</f>
        <v>-12028.301886792447</v>
      </c>
      <c r="G61" s="31">
        <v>19.8</v>
      </c>
      <c r="H61" s="32">
        <f t="shared" si="27"/>
        <v>-6.6037735849056534E-2</v>
      </c>
      <c r="I61" s="97">
        <f>IF(ISNUMBER(G61), $B64 * H61, "")</f>
        <v>-9905.6603773584793</v>
      </c>
      <c r="J61" s="15">
        <v>20.399999999999999</v>
      </c>
      <c r="K61" s="32">
        <f t="shared" si="28"/>
        <v>-3.7735849056603807E-2</v>
      </c>
      <c r="L61" s="18">
        <f>IF(ISNUMBER(J61), $B64 * K61, "")</f>
        <v>-5660.3773584905712</v>
      </c>
      <c r="M61" s="31">
        <v>20.6</v>
      </c>
      <c r="N61" s="32">
        <f t="shared" si="29"/>
        <v>-2.830188679245273E-2</v>
      </c>
      <c r="O61" s="18">
        <f>IF(ISNUMBER(M61), $B64 * N61, "")</f>
        <v>-4245.28301886791</v>
      </c>
      <c r="Q61" s="275"/>
      <c r="R61" s="275"/>
      <c r="S61" s="275"/>
    </row>
    <row r="62" spans="1:19" ht="17.25" customHeight="1">
      <c r="A62" s="124" t="s">
        <v>266</v>
      </c>
      <c r="B62" s="125">
        <v>97.2</v>
      </c>
      <c r="C62" s="73">
        <v>-5.6310679600000003E-2</v>
      </c>
      <c r="D62" s="15">
        <v>89</v>
      </c>
      <c r="E62" s="32">
        <f t="shared" si="26"/>
        <v>-8.4362139917695506E-2</v>
      </c>
      <c r="F62" s="18">
        <f>IF(ISNUMBER(D62), $B64 * E62, "")</f>
        <v>-12654.320987654326</v>
      </c>
      <c r="G62" s="31">
        <v>90.4</v>
      </c>
      <c r="H62" s="32">
        <f t="shared" si="27"/>
        <v>-6.9958847736625487E-2</v>
      </c>
      <c r="I62" s="97">
        <f>IF(ISNUMBER(G62), $B64 * H62, "")</f>
        <v>-10493.827160493824</v>
      </c>
      <c r="J62" s="15">
        <v>94.3</v>
      </c>
      <c r="K62" s="32">
        <f t="shared" si="28"/>
        <v>-2.9835390946502116E-2</v>
      </c>
      <c r="L62" s="18">
        <f>IF(ISNUMBER(J62), $B64 * K62, "")</f>
        <v>-4475.3086419753172</v>
      </c>
      <c r="M62" s="31">
        <v>94.2</v>
      </c>
      <c r="N62" s="32">
        <f t="shared" si="29"/>
        <v>-3.0864197530864196E-2</v>
      </c>
      <c r="O62" s="18">
        <f>IF(ISNUMBER(M62), $B64 * N62, "")</f>
        <v>-4629.6296296296296</v>
      </c>
      <c r="Q62" s="297"/>
      <c r="R62" s="298"/>
      <c r="S62" s="299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00"/>
      <c r="R63" s="301"/>
      <c r="S63" s="302"/>
    </row>
    <row r="64" spans="1:19" ht="17.25" customHeight="1" thickBot="1">
      <c r="A64" s="131" t="s">
        <v>301</v>
      </c>
      <c r="B64" s="308">
        <f>$B$37</f>
        <v>150000</v>
      </c>
      <c r="C64" s="309"/>
      <c r="D64" s="26" t="s">
        <v>302</v>
      </c>
      <c r="E64" s="27">
        <f>IF(COUNT(E44:E63), SUM(E44:E63) / COUNT(E44:E63), 0)</f>
        <v>-6.0083114703568037E-2</v>
      </c>
      <c r="F64" s="28">
        <f>SUM(F44:F63)</f>
        <v>-171236.87690516893</v>
      </c>
      <c r="G64" s="26" t="s">
        <v>302</v>
      </c>
      <c r="H64" s="27">
        <f>IF(COUNT(H44:H63), SUM(H44:H63) / COUNT(H44:H63), 0)</f>
        <v>-3.8634941468008686E-2</v>
      </c>
      <c r="I64" s="28">
        <f>SUM(I44:I63)</f>
        <v>-110109.58318382471</v>
      </c>
      <c r="J64" s="26" t="s">
        <v>302</v>
      </c>
      <c r="K64" s="27">
        <f>IF(COUNT(K44:K63), SUM(K44:K63) / COUNT(K44:K63), 0)</f>
        <v>-8.368132440394787E-3</v>
      </c>
      <c r="L64" s="28">
        <f>SUM(L44:L63)</f>
        <v>-23849.177455125144</v>
      </c>
      <c r="M64" s="26" t="s">
        <v>302</v>
      </c>
      <c r="N64" s="27">
        <f>IF(COUNT(N44:N63), SUM(N44:N63) / COUNT(N44:N63), 0)</f>
        <v>1.7874630173095435E-3</v>
      </c>
      <c r="O64" s="28">
        <f>SUM(O44:O63)</f>
        <v>5094.2695993321886</v>
      </c>
      <c r="Q64" s="303"/>
      <c r="R64" s="304"/>
      <c r="S64" s="305"/>
    </row>
    <row r="65" spans="1:19" ht="17.25" customHeight="1"/>
    <row r="66" spans="1:19" ht="17.25" customHeight="1" thickBot="1"/>
    <row r="67" spans="1:19" ht="17.25" thickBot="1">
      <c r="A67" s="249" t="s">
        <v>45</v>
      </c>
      <c r="B67" s="250"/>
      <c r="C67" s="250"/>
      <c r="D67" s="250"/>
      <c r="E67" s="250"/>
      <c r="F67" s="250"/>
      <c r="G67" s="250"/>
      <c r="H67" s="250"/>
      <c r="I67" s="250"/>
      <c r="J67" s="250"/>
      <c r="K67" s="250"/>
      <c r="L67" s="250"/>
      <c r="M67" s="250"/>
      <c r="N67" s="250"/>
      <c r="O67" s="251"/>
      <c r="Q67" s="270"/>
      <c r="R67" s="270"/>
      <c r="S67" s="270"/>
    </row>
    <row r="68" spans="1:19" ht="17.25" thickBot="1">
      <c r="A68" s="163" t="s">
        <v>298</v>
      </c>
      <c r="B68" s="249" t="s">
        <v>49</v>
      </c>
      <c r="C68" s="251"/>
      <c r="D68" s="249" t="s">
        <v>58</v>
      </c>
      <c r="E68" s="250"/>
      <c r="F68" s="251"/>
      <c r="G68" s="276">
        <f>_xlfn.IFNA(VLOOKUP(B68, 현재가테이블!$B$2:$D$200, 2, FALSE), "-")</f>
        <v>60874000</v>
      </c>
      <c r="H68" s="277"/>
      <c r="I68" s="278"/>
      <c r="J68" s="249" t="s">
        <v>59</v>
      </c>
      <c r="K68" s="250"/>
      <c r="L68" s="251"/>
      <c r="M68" s="279">
        <f>_xlfn.IFNA(VLOOKUP(B68, 현재가테이블!$B$2:$D$200, 3, FALSE), "-")</f>
        <v>-1.4936000099999999E-2</v>
      </c>
      <c r="N68" s="280"/>
      <c r="O68" s="281"/>
      <c r="Q68" s="270"/>
      <c r="R68" s="270"/>
      <c r="S68" s="270"/>
    </row>
    <row r="69" spans="1:19" ht="17.25" thickBot="1">
      <c r="A69" s="310" t="s">
        <v>55</v>
      </c>
      <c r="B69" s="312" t="str">
        <f>TEXT($G$1, "[$-ko-KR]yyyy-mm-dd(ddd) ") &amp; "오전 00:00"</f>
        <v>2021-05-07(금) 오전 00:00</v>
      </c>
      <c r="C69" s="313"/>
      <c r="D69" s="272" t="str">
        <f>TEXT($G$1, "[$-ko-KR]yyyy-mm-dd(ddd) ") &amp; "오후 14:00"</f>
        <v>2021-05-07(금) 오후 14:00</v>
      </c>
      <c r="E69" s="273"/>
      <c r="F69" s="274"/>
      <c r="G69" s="272" t="str">
        <f>TEXT($G$1, "[$-ko-KR]yyyy-mm-dd(ddd) ") &amp; "오후 19:00"</f>
        <v>2021-05-07(금) 오후 19:00</v>
      </c>
      <c r="H69" s="273"/>
      <c r="I69" s="274"/>
      <c r="J69" s="272" t="str">
        <f>TEXT($G$1, "[$-ko-KR]yyyy-mm-dd(ddd) ") &amp; "오후 21:00"</f>
        <v>2021-05-07(금) 오후 21:00</v>
      </c>
      <c r="K69" s="273"/>
      <c r="L69" s="274"/>
      <c r="M69" s="272" t="str">
        <f>TEXT($G$1+1, "[$-ko-KR]yyyy-mm-dd(ddd) ") &amp; "오전 00:00"</f>
        <v>2021-05-08(토) 오전 00:00</v>
      </c>
      <c r="N69" s="273"/>
      <c r="O69" s="274"/>
      <c r="Q69" s="270"/>
      <c r="R69" s="270"/>
      <c r="S69" s="270"/>
    </row>
    <row r="70" spans="1:19" ht="17.25" thickBot="1">
      <c r="A70" s="311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4" t="s">
        <v>58</v>
      </c>
      <c r="H70" s="165" t="s">
        <v>299</v>
      </c>
      <c r="I70" s="166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75"/>
      <c r="R70" s="275"/>
      <c r="S70" s="275"/>
    </row>
    <row r="71" spans="1:19" ht="17.25" thickBot="1">
      <c r="A71" s="122" t="s">
        <v>136</v>
      </c>
      <c r="B71" s="123">
        <v>292</v>
      </c>
      <c r="C71" s="72">
        <v>0.15415019760000001</v>
      </c>
      <c r="D71" s="13">
        <v>274</v>
      </c>
      <c r="E71" s="14">
        <f>IF(ISNUMBER(D71), (D71 - $B71) / $B71, "")</f>
        <v>-6.1643835616438353E-2</v>
      </c>
      <c r="F71" s="16">
        <f>IF(ISNUMBER(D71), $B91 * E71, "")</f>
        <v>-9246.5753424657523</v>
      </c>
      <c r="G71" s="29">
        <v>279</v>
      </c>
      <c r="H71" s="14">
        <f>IF(ISNUMBER(G71), (G71 - $B71) / $B71, "")</f>
        <v>-4.4520547945205477E-2</v>
      </c>
      <c r="I71" s="96">
        <f>IF(ISNUMBER(G71), $B91 * H71, "")</f>
        <v>-6678.0821917808216</v>
      </c>
      <c r="J71" s="13">
        <v>287</v>
      </c>
      <c r="K71" s="14">
        <f>IF(ISNUMBER(J71), (J71 - $B71) / $B71, "")</f>
        <v>-1.7123287671232876E-2</v>
      </c>
      <c r="L71" s="16">
        <f>IF(ISNUMBER(J71), $B91 * K71, "")</f>
        <v>-2568.4931506849312</v>
      </c>
      <c r="M71" s="29">
        <v>282</v>
      </c>
      <c r="N71" s="14">
        <f>IF(ISNUMBER(M71), (M71 - $B71) / $B71, "")</f>
        <v>-3.4246575342465752E-2</v>
      </c>
      <c r="O71" s="16">
        <f>IF(ISNUMBER(M71), $B91 * N71, "")</f>
        <v>-5136.9863013698623</v>
      </c>
      <c r="Q71" s="270"/>
      <c r="R71" s="270"/>
      <c r="S71" s="270"/>
    </row>
    <row r="72" spans="1:19" ht="17.25" thickBot="1">
      <c r="A72" s="124" t="s">
        <v>168</v>
      </c>
      <c r="B72" s="125">
        <v>255</v>
      </c>
      <c r="C72" s="73">
        <v>0.13839285709999999</v>
      </c>
      <c r="D72" s="15">
        <v>258</v>
      </c>
      <c r="E72" s="32">
        <f t="shared" ref="E72:E75" si="30">IF(ISNUMBER(D72), (D72 - $B72) / $B72, "")</f>
        <v>1.1764705882352941E-2</v>
      </c>
      <c r="F72" s="18">
        <f>IF(ISNUMBER(D72), $B91 * E72, "")</f>
        <v>1764.7058823529412</v>
      </c>
      <c r="G72" s="31">
        <v>262</v>
      </c>
      <c r="H72" s="32">
        <f t="shared" ref="H72:H75" si="31">IF(ISNUMBER(G72), (G72 - $B72) / $B72, "")</f>
        <v>2.7450980392156862E-2</v>
      </c>
      <c r="I72" s="97">
        <f>IF(ISNUMBER(G72), $B91 * H72, "")</f>
        <v>4117.6470588235297</v>
      </c>
      <c r="J72" s="15">
        <v>270</v>
      </c>
      <c r="K72" s="32">
        <f t="shared" ref="K72:K75" si="32">IF(ISNUMBER(J72), (J72 - $B72) / $B72, "")</f>
        <v>5.8823529411764705E-2</v>
      </c>
      <c r="L72" s="18">
        <f>IF(ISNUMBER(J72), $B91 * K72, "")</f>
        <v>8823.5294117647063</v>
      </c>
      <c r="M72" s="31">
        <v>261</v>
      </c>
      <c r="N72" s="32">
        <f t="shared" ref="N72:N75" si="33">IF(ISNUMBER(M72), (M72 - $B72) / $B72, "")</f>
        <v>2.3529411764705882E-2</v>
      </c>
      <c r="O72" s="18">
        <f>IF(ISNUMBER(M72), $B91 * N72, "")</f>
        <v>3529.4117647058824</v>
      </c>
      <c r="Q72" s="270"/>
      <c r="R72" s="270"/>
      <c r="S72" s="270"/>
    </row>
    <row r="73" spans="1:19" ht="17.25" thickBot="1">
      <c r="A73" s="124" t="s">
        <v>182</v>
      </c>
      <c r="B73" s="125">
        <v>515</v>
      </c>
      <c r="C73" s="73">
        <v>7.2916666699999994E-2</v>
      </c>
      <c r="D73" s="15">
        <v>498</v>
      </c>
      <c r="E73" s="32">
        <f t="shared" si="30"/>
        <v>-3.3009708737864081E-2</v>
      </c>
      <c r="F73" s="18">
        <f>IF(ISNUMBER(D73), $B91 * E73, "")</f>
        <v>-4951.4563106796122</v>
      </c>
      <c r="G73" s="31">
        <v>536</v>
      </c>
      <c r="H73" s="32">
        <f t="shared" si="31"/>
        <v>4.0776699029126215E-2</v>
      </c>
      <c r="I73" s="97">
        <f>IF(ISNUMBER(G73), $B91 * H73, "")</f>
        <v>6116.5048543689327</v>
      </c>
      <c r="J73" s="15">
        <v>559</v>
      </c>
      <c r="K73" s="32">
        <f t="shared" si="32"/>
        <v>8.5436893203883493E-2</v>
      </c>
      <c r="L73" s="18">
        <f>IF(ISNUMBER(J73), $B91 * K73, "")</f>
        <v>12815.533980582524</v>
      </c>
      <c r="M73" s="31">
        <v>569</v>
      </c>
      <c r="N73" s="32">
        <f t="shared" si="33"/>
        <v>0.10485436893203884</v>
      </c>
      <c r="O73" s="18">
        <f>IF(ISNUMBER(M73), $B91 * N73, "")</f>
        <v>15728.155339805826</v>
      </c>
      <c r="Q73" s="275"/>
      <c r="R73" s="275"/>
      <c r="S73" s="275"/>
    </row>
    <row r="74" spans="1:19" ht="17.25" thickBot="1">
      <c r="A74" s="124" t="s">
        <v>132</v>
      </c>
      <c r="B74" s="125">
        <v>265</v>
      </c>
      <c r="C74" s="73">
        <v>6.8548387099999997E-2</v>
      </c>
      <c r="D74" s="15">
        <v>282</v>
      </c>
      <c r="E74" s="32">
        <f t="shared" si="30"/>
        <v>6.4150943396226415E-2</v>
      </c>
      <c r="F74" s="18">
        <f>IF(ISNUMBER(D74), $B91 * E74, "")</f>
        <v>9622.6415094339627</v>
      </c>
      <c r="G74" s="31">
        <v>287</v>
      </c>
      <c r="H74" s="32">
        <f t="shared" si="31"/>
        <v>8.3018867924528297E-2</v>
      </c>
      <c r="I74" s="97">
        <f>IF(ISNUMBER(G74), $B91 * H74, "")</f>
        <v>12452.830188679245</v>
      </c>
      <c r="J74" s="15">
        <v>294</v>
      </c>
      <c r="K74" s="32">
        <f t="shared" si="32"/>
        <v>0.10943396226415095</v>
      </c>
      <c r="L74" s="18">
        <f>IF(ISNUMBER(J74), $B91 * K74, "")</f>
        <v>16415.094339622643</v>
      </c>
      <c r="M74" s="31">
        <v>291</v>
      </c>
      <c r="N74" s="32">
        <f t="shared" si="33"/>
        <v>9.8113207547169817E-2</v>
      </c>
      <c r="O74" s="18">
        <f>IF(ISNUMBER(M74), $B91 * N74, "")</f>
        <v>14716.981132075472</v>
      </c>
      <c r="Q74" s="275"/>
      <c r="R74" s="275"/>
      <c r="S74" s="275"/>
    </row>
    <row r="75" spans="1:19" ht="17.25" thickBot="1">
      <c r="A75" s="126" t="s">
        <v>278</v>
      </c>
      <c r="B75" s="127">
        <v>175</v>
      </c>
      <c r="C75" s="74">
        <v>6.0606060599999997E-2</v>
      </c>
      <c r="D75" s="20">
        <v>183</v>
      </c>
      <c r="E75" s="21">
        <f t="shared" si="30"/>
        <v>4.5714285714285714E-2</v>
      </c>
      <c r="F75" s="22">
        <f>IF(ISNUMBER(D75), $B91 * E75, "")</f>
        <v>6857.1428571428569</v>
      </c>
      <c r="G75" s="30">
        <v>187</v>
      </c>
      <c r="H75" s="21">
        <f t="shared" si="31"/>
        <v>6.8571428571428575E-2</v>
      </c>
      <c r="I75" s="101">
        <f>IF(ISNUMBER(G75), $B91 * H75, "")</f>
        <v>10285.714285714286</v>
      </c>
      <c r="J75" s="20">
        <v>183</v>
      </c>
      <c r="K75" s="21">
        <f t="shared" si="32"/>
        <v>4.5714285714285714E-2</v>
      </c>
      <c r="L75" s="22">
        <f>IF(ISNUMBER(J75), $B91 * K75, "")</f>
        <v>6857.1428571428569</v>
      </c>
      <c r="M75" s="30">
        <v>183</v>
      </c>
      <c r="N75" s="21">
        <f t="shared" si="33"/>
        <v>4.5714285714285714E-2</v>
      </c>
      <c r="O75" s="22">
        <f>IF(ISNUMBER(M75), $B91 * N75, "")</f>
        <v>6857.1428571428569</v>
      </c>
      <c r="Q75" s="275"/>
      <c r="R75" s="275"/>
      <c r="S75" s="275"/>
    </row>
    <row r="76" spans="1:19" ht="17.25" thickBot="1">
      <c r="A76" s="124" t="s">
        <v>51</v>
      </c>
      <c r="B76" s="128">
        <v>767</v>
      </c>
      <c r="C76" s="76">
        <v>5.0684931500000002E-2</v>
      </c>
      <c r="D76" s="102">
        <v>755</v>
      </c>
      <c r="E76" s="103">
        <f>IF(ISNUMBER(D76), (D76 - $B76) / $B76, "")</f>
        <v>-1.5645371577574969E-2</v>
      </c>
      <c r="F76" s="104">
        <f>IF(ISNUMBER(D76), $B91 * E76, "")</f>
        <v>-2346.8057366362455</v>
      </c>
      <c r="G76" s="105">
        <v>779</v>
      </c>
      <c r="H76" s="103">
        <f>IF(ISNUMBER(G76), (G76 - $B76) / $B76, "")</f>
        <v>1.5645371577574969E-2</v>
      </c>
      <c r="I76" s="106">
        <f>IF(ISNUMBER(G76), $B91 * H76, "")</f>
        <v>2346.8057366362455</v>
      </c>
      <c r="J76" s="102">
        <v>812</v>
      </c>
      <c r="K76" s="103">
        <f>IF(ISNUMBER(J76), (J76 - $B76) / $B76, "")</f>
        <v>5.867014341590613E-2</v>
      </c>
      <c r="L76" s="104">
        <f>IF(ISNUMBER(J76), $B91 * K76, "")</f>
        <v>8800.5215123859198</v>
      </c>
      <c r="M76" s="105">
        <v>782</v>
      </c>
      <c r="N76" s="103">
        <f>IF(ISNUMBER(M76), (M76 - $B76) / $B76, "")</f>
        <v>1.955671447196871E-2</v>
      </c>
      <c r="O76" s="104">
        <f>IF(ISNUMBER(M76), $B91 * N76, "")</f>
        <v>2933.5071707953066</v>
      </c>
      <c r="Q76" s="275"/>
      <c r="R76" s="275"/>
      <c r="S76" s="275"/>
    </row>
    <row r="77" spans="1:19" ht="17.25" thickBot="1">
      <c r="A77" s="124" t="s">
        <v>57</v>
      </c>
      <c r="B77" s="125">
        <v>460</v>
      </c>
      <c r="C77" s="73">
        <v>4.78359909E-2</v>
      </c>
      <c r="D77" s="15">
        <v>448</v>
      </c>
      <c r="E77" s="32">
        <f t="shared" ref="E77:E80" si="34">IF(ISNUMBER(D77), (D77 - $B77) / $B77, "")</f>
        <v>-2.6086956521739129E-2</v>
      </c>
      <c r="F77" s="18">
        <f>IF(ISNUMBER(D77), $B91 * E77, "")</f>
        <v>-3913.0434782608695</v>
      </c>
      <c r="G77" s="31">
        <v>469</v>
      </c>
      <c r="H77" s="32">
        <f t="shared" ref="H77:H80" si="35">IF(ISNUMBER(G77), (G77 - $B77) / $B77, "")</f>
        <v>1.9565217391304349E-2</v>
      </c>
      <c r="I77" s="97">
        <f>IF(ISNUMBER(G77), $B91 * H77, "")</f>
        <v>2934.7826086956525</v>
      </c>
      <c r="J77" s="15">
        <v>498</v>
      </c>
      <c r="K77" s="32">
        <f t="shared" ref="K77:K80" si="36">IF(ISNUMBER(J77), (J77 - $B77) / $B77, "")</f>
        <v>8.2608695652173908E-2</v>
      </c>
      <c r="L77" s="18">
        <f>IF(ISNUMBER(J77), $B91 * K77, "")</f>
        <v>12391.304347826086</v>
      </c>
      <c r="M77" s="31">
        <v>498</v>
      </c>
      <c r="N77" s="32">
        <f t="shared" ref="N77:N80" si="37">IF(ISNUMBER(M77), (M77 - $B77) / $B77, "")</f>
        <v>8.2608695652173908E-2</v>
      </c>
      <c r="O77" s="18">
        <f>IF(ISNUMBER(M77), $B91 * N77, "")</f>
        <v>12391.304347826086</v>
      </c>
      <c r="Q77" s="275"/>
      <c r="R77" s="275"/>
      <c r="S77" s="275"/>
    </row>
    <row r="78" spans="1:19" ht="17.25" thickBot="1">
      <c r="A78" s="124" t="s">
        <v>156</v>
      </c>
      <c r="B78" s="125">
        <v>183</v>
      </c>
      <c r="C78" s="73">
        <v>4.5714285700000003E-2</v>
      </c>
      <c r="D78" s="15">
        <v>191</v>
      </c>
      <c r="E78" s="32">
        <f t="shared" si="34"/>
        <v>4.3715846994535519E-2</v>
      </c>
      <c r="F78" s="18">
        <f>IF(ISNUMBER(D78), $B91 * E78, "")</f>
        <v>6557.377049180328</v>
      </c>
      <c r="G78" s="31">
        <v>198</v>
      </c>
      <c r="H78" s="32">
        <f t="shared" si="35"/>
        <v>8.1967213114754092E-2</v>
      </c>
      <c r="I78" s="97">
        <f>IF(ISNUMBER(G78), $B91 * H78, "")</f>
        <v>12295.081967213115</v>
      </c>
      <c r="J78" s="15">
        <v>192</v>
      </c>
      <c r="K78" s="32">
        <f t="shared" si="36"/>
        <v>4.9180327868852458E-2</v>
      </c>
      <c r="L78" s="18">
        <f>IF(ISNUMBER(J78), $B91 * K78, "")</f>
        <v>7377.0491803278683</v>
      </c>
      <c r="M78" s="31">
        <v>189</v>
      </c>
      <c r="N78" s="32">
        <f t="shared" si="37"/>
        <v>3.2786885245901641E-2</v>
      </c>
      <c r="O78" s="18">
        <f>IF(ISNUMBER(M78), $B91 * N78, "")</f>
        <v>4918.0327868852464</v>
      </c>
      <c r="Q78" s="275"/>
      <c r="R78" s="275"/>
      <c r="S78" s="275"/>
    </row>
    <row r="79" spans="1:19" ht="17.25" thickBot="1">
      <c r="A79" s="124" t="s">
        <v>120</v>
      </c>
      <c r="B79" s="125">
        <v>230</v>
      </c>
      <c r="C79" s="73">
        <v>4.0723981899999998E-2</v>
      </c>
      <c r="D79" s="15">
        <v>222</v>
      </c>
      <c r="E79" s="32">
        <f t="shared" si="34"/>
        <v>-3.4782608695652174E-2</v>
      </c>
      <c r="F79" s="18">
        <f>IF(ISNUMBER(D79), $B91 * E79, "")</f>
        <v>-5217.391304347826</v>
      </c>
      <c r="G79" s="31">
        <v>224</v>
      </c>
      <c r="H79" s="32">
        <f t="shared" si="35"/>
        <v>-2.6086956521739129E-2</v>
      </c>
      <c r="I79" s="97">
        <f>IF(ISNUMBER(G79), $B91 * H79, "")</f>
        <v>-3913.0434782608695</v>
      </c>
      <c r="J79" s="15">
        <v>228</v>
      </c>
      <c r="K79" s="32">
        <f t="shared" si="36"/>
        <v>-8.6956521739130436E-3</v>
      </c>
      <c r="L79" s="18">
        <f>IF(ISNUMBER(J79), $B91 * K79, "")</f>
        <v>-1304.3478260869565</v>
      </c>
      <c r="M79" s="31">
        <v>227</v>
      </c>
      <c r="N79" s="32">
        <f t="shared" si="37"/>
        <v>-1.3043478260869565E-2</v>
      </c>
      <c r="O79" s="18">
        <f>IF(ISNUMBER(M79), $B91 * N79, "")</f>
        <v>-1956.5217391304348</v>
      </c>
      <c r="Q79" s="33"/>
      <c r="R79" s="33"/>
    </row>
    <row r="80" spans="1:19" ht="17.25" thickBot="1">
      <c r="A80" s="129" t="s">
        <v>216</v>
      </c>
      <c r="B80" s="130">
        <v>465</v>
      </c>
      <c r="C80" s="75">
        <v>3.3333333299999997E-2</v>
      </c>
      <c r="D80" s="24">
        <v>508</v>
      </c>
      <c r="E80" s="25">
        <f t="shared" si="34"/>
        <v>9.2473118279569888E-2</v>
      </c>
      <c r="F80" s="100">
        <f>IF(ISNUMBER(D80), $B91 * E80, "")</f>
        <v>13870.967741935483</v>
      </c>
      <c r="G80" s="98">
        <v>539</v>
      </c>
      <c r="H80" s="25">
        <f t="shared" si="35"/>
        <v>0.15913978494623657</v>
      </c>
      <c r="I80" s="99">
        <f>IF(ISNUMBER(G80), $B91 * H80, "")</f>
        <v>23870.967741935485</v>
      </c>
      <c r="J80" s="24">
        <v>544</v>
      </c>
      <c r="K80" s="25">
        <f t="shared" si="36"/>
        <v>0.16989247311827957</v>
      </c>
      <c r="L80" s="100">
        <f>IF(ISNUMBER(J80), $B91 * K80, "")</f>
        <v>25483.870967741936</v>
      </c>
      <c r="M80" s="98">
        <v>555</v>
      </c>
      <c r="N80" s="25">
        <f t="shared" si="37"/>
        <v>0.19354838709677419</v>
      </c>
      <c r="O80" s="100">
        <f>IF(ISNUMBER(M80), $B91 * N80, "")</f>
        <v>29032.258064516129</v>
      </c>
      <c r="Q80" s="284"/>
      <c r="R80" s="285"/>
      <c r="S80" s="286"/>
    </row>
    <row r="81" spans="1:19">
      <c r="A81" s="122" t="s">
        <v>134</v>
      </c>
      <c r="B81" s="123">
        <v>157</v>
      </c>
      <c r="C81" s="72">
        <v>3.2894736799999998E-2</v>
      </c>
      <c r="D81" s="13">
        <v>147</v>
      </c>
      <c r="E81" s="14">
        <f>IF(ISNUMBER(D81), (D81 - $B81) / $B81, "")</f>
        <v>-6.3694267515923567E-2</v>
      </c>
      <c r="F81" s="16">
        <f>IF(ISNUMBER(D81), $B91 * E81, "")</f>
        <v>-9554.1401273885349</v>
      </c>
      <c r="G81" s="29">
        <v>153</v>
      </c>
      <c r="H81" s="14">
        <f>IF(ISNUMBER(G81), (G81 - $B81) / $B81, "")</f>
        <v>-2.5477707006369428E-2</v>
      </c>
      <c r="I81" s="96">
        <f>IF(ISNUMBER(G81), $B91 * H81, "")</f>
        <v>-3821.6560509554142</v>
      </c>
      <c r="J81" s="13">
        <v>161</v>
      </c>
      <c r="K81" s="14">
        <f>IF(ISNUMBER(J81), (J81 - $B81) / $B81, "")</f>
        <v>2.5477707006369428E-2</v>
      </c>
      <c r="L81" s="16">
        <f>IF(ISNUMBER(J81), $B91 * K81, "")</f>
        <v>3821.6560509554142</v>
      </c>
      <c r="M81" s="29">
        <v>166</v>
      </c>
      <c r="N81" s="14">
        <f>IF(ISNUMBER(M81), (M81 - $B81) / $B81, "")</f>
        <v>5.7324840764331211E-2</v>
      </c>
      <c r="O81" s="16">
        <f>IF(ISNUMBER(M81), $B91 * N81, "")</f>
        <v>8598.7261146496821</v>
      </c>
      <c r="Q81" s="287"/>
      <c r="R81" s="288"/>
      <c r="S81" s="289"/>
    </row>
    <row r="82" spans="1:19" ht="17.25" thickBot="1">
      <c r="A82" s="124" t="s">
        <v>88</v>
      </c>
      <c r="B82" s="125">
        <v>638</v>
      </c>
      <c r="C82" s="73">
        <v>2.90322581E-2</v>
      </c>
      <c r="D82" s="15">
        <v>604</v>
      </c>
      <c r="E82" s="32">
        <f t="shared" ref="E82:E85" si="38">IF(ISNUMBER(D82), (D82 - $B82) / $B82, "")</f>
        <v>-5.329153605015674E-2</v>
      </c>
      <c r="F82" s="18">
        <f>IF(ISNUMBER(D82), $B91 * E82, "")</f>
        <v>-7993.7304075235106</v>
      </c>
      <c r="G82" s="31">
        <v>607</v>
      </c>
      <c r="H82" s="32">
        <f t="shared" ref="H82:H85" si="39">IF(ISNUMBER(G82), (G82 - $B82) / $B82, "")</f>
        <v>-4.8589341692789965E-2</v>
      </c>
      <c r="I82" s="97">
        <f>IF(ISNUMBER(G82), $B91 * H82, "")</f>
        <v>-7288.4012539184951</v>
      </c>
      <c r="J82" s="15">
        <v>617</v>
      </c>
      <c r="K82" s="32">
        <f t="shared" ref="K82:K85" si="40">IF(ISNUMBER(J82), (J82 - $B82) / $B82, "")</f>
        <v>-3.2915360501567396E-2</v>
      </c>
      <c r="L82" s="18">
        <f>IF(ISNUMBER(J82), $B91 * K82, "")</f>
        <v>-4937.3040752351098</v>
      </c>
      <c r="M82" s="31">
        <v>614</v>
      </c>
      <c r="N82" s="32">
        <f t="shared" ref="N82:N85" si="41">IF(ISNUMBER(M82), (M82 - $B82) / $B82, "")</f>
        <v>-3.7617554858934171E-2</v>
      </c>
      <c r="O82" s="18">
        <f>IF(ISNUMBER(M82), $B91 * N82, "")</f>
        <v>-5642.6332288401254</v>
      </c>
      <c r="Q82" s="290"/>
      <c r="R82" s="291"/>
      <c r="S82" s="292"/>
    </row>
    <row r="83" spans="1:19" ht="17.25" thickBot="1">
      <c r="A83" s="124" t="s">
        <v>270</v>
      </c>
      <c r="B83" s="125">
        <v>605</v>
      </c>
      <c r="C83" s="73">
        <v>2.7164685899999999E-2</v>
      </c>
      <c r="D83" s="15">
        <v>567</v>
      </c>
      <c r="E83" s="32">
        <f t="shared" si="38"/>
        <v>-6.2809917355371905E-2</v>
      </c>
      <c r="F83" s="18">
        <f>IF(ISNUMBER(D83), $B91 * E83, "")</f>
        <v>-9421.4876033057863</v>
      </c>
      <c r="G83" s="31">
        <v>621</v>
      </c>
      <c r="H83" s="32">
        <f t="shared" si="39"/>
        <v>2.6446280991735537E-2</v>
      </c>
      <c r="I83" s="97">
        <f>IF(ISNUMBER(G83), $B91 * H83, "")</f>
        <v>3966.9421487603304</v>
      </c>
      <c r="J83" s="15">
        <v>633</v>
      </c>
      <c r="K83" s="32">
        <f t="shared" si="40"/>
        <v>4.6280991735537187E-2</v>
      </c>
      <c r="L83" s="18">
        <f>IF(ISNUMBER(J83), $B91 * K83, "")</f>
        <v>6942.1487603305777</v>
      </c>
      <c r="M83" s="31">
        <v>653</v>
      </c>
      <c r="N83" s="32">
        <f t="shared" si="41"/>
        <v>7.9338842975206617E-2</v>
      </c>
      <c r="O83" s="18">
        <f>IF(ISNUMBER(M83), $B91 * N83, "")</f>
        <v>11900.826446280993</v>
      </c>
      <c r="Q83" s="275"/>
      <c r="R83" s="275"/>
      <c r="S83" s="275"/>
    </row>
    <row r="84" spans="1:19" ht="17.25" thickBot="1">
      <c r="A84" s="124" t="s">
        <v>142</v>
      </c>
      <c r="B84" s="125">
        <v>468</v>
      </c>
      <c r="C84" s="73">
        <v>2.18340611E-2</v>
      </c>
      <c r="D84" s="15">
        <v>459</v>
      </c>
      <c r="E84" s="32">
        <f t="shared" si="38"/>
        <v>-1.9230769230769232E-2</v>
      </c>
      <c r="F84" s="18">
        <f>IF(ISNUMBER(D84), $B91 * E84, "")</f>
        <v>-2884.6153846153848</v>
      </c>
      <c r="G84" s="31">
        <v>463</v>
      </c>
      <c r="H84" s="32">
        <f t="shared" si="39"/>
        <v>-1.0683760683760684E-2</v>
      </c>
      <c r="I84" s="97">
        <f>IF(ISNUMBER(G84), $B91 * H84, "")</f>
        <v>-1602.5641025641025</v>
      </c>
      <c r="J84" s="15">
        <v>487</v>
      </c>
      <c r="K84" s="32">
        <f t="shared" si="40"/>
        <v>4.05982905982906E-2</v>
      </c>
      <c r="L84" s="18">
        <f>IF(ISNUMBER(J84), $B91 * K84, "")</f>
        <v>6089.7435897435898</v>
      </c>
      <c r="M84" s="31">
        <v>496</v>
      </c>
      <c r="N84" s="32">
        <f t="shared" si="41"/>
        <v>5.9829059829059832E-2</v>
      </c>
      <c r="O84" s="18">
        <f>IF(ISNUMBER(M84), $B91 * N84, "")</f>
        <v>8974.3589743589746</v>
      </c>
      <c r="Q84" s="270"/>
      <c r="R84" s="270"/>
      <c r="S84" s="270"/>
    </row>
    <row r="85" spans="1:19" ht="17.25" thickBot="1">
      <c r="A85" s="126" t="s">
        <v>284</v>
      </c>
      <c r="B85" s="127">
        <v>471</v>
      </c>
      <c r="C85" s="74">
        <v>2.1691973999999999E-2</v>
      </c>
      <c r="D85" s="20">
        <v>467</v>
      </c>
      <c r="E85" s="21">
        <f t="shared" si="38"/>
        <v>-8.4925690021231421E-3</v>
      </c>
      <c r="F85" s="22">
        <f>IF(ISNUMBER(D85), $B91 * E85, "")</f>
        <v>-1273.8853503184714</v>
      </c>
      <c r="G85" s="30">
        <v>483</v>
      </c>
      <c r="H85" s="21">
        <f t="shared" si="39"/>
        <v>2.5477707006369428E-2</v>
      </c>
      <c r="I85" s="101">
        <f>IF(ISNUMBER(G85), $B91 * H85, "")</f>
        <v>3821.6560509554142</v>
      </c>
      <c r="J85" s="20">
        <v>522</v>
      </c>
      <c r="K85" s="21">
        <f t="shared" si="40"/>
        <v>0.10828025477707007</v>
      </c>
      <c r="L85" s="22">
        <f>IF(ISNUMBER(J85), $B91 * K85, "")</f>
        <v>16242.03821656051</v>
      </c>
      <c r="M85" s="30">
        <v>538</v>
      </c>
      <c r="N85" s="21">
        <f t="shared" si="41"/>
        <v>0.14225053078556263</v>
      </c>
      <c r="O85" s="22">
        <f>IF(ISNUMBER(M85), $B91 * N85, "")</f>
        <v>21337.579617834395</v>
      </c>
      <c r="Q85" s="270"/>
      <c r="R85" s="270"/>
      <c r="S85" s="270"/>
    </row>
    <row r="86" spans="1:19" ht="17.25" thickBot="1">
      <c r="A86" s="124" t="s">
        <v>148</v>
      </c>
      <c r="B86" s="128">
        <v>199</v>
      </c>
      <c r="C86" s="76">
        <v>1.53061224E-2</v>
      </c>
      <c r="D86" s="102">
        <v>192</v>
      </c>
      <c r="E86" s="103">
        <f>IF(ISNUMBER(D86), (D86 - $B86) / $B86, "")</f>
        <v>-3.5175879396984924E-2</v>
      </c>
      <c r="F86" s="104">
        <f>IF(ISNUMBER(D86), $B91 * E86, "")</f>
        <v>-5276.3819095477384</v>
      </c>
      <c r="G86" s="105">
        <v>195</v>
      </c>
      <c r="H86" s="103">
        <f>IF(ISNUMBER(G86), (G86 - $B86) / $B86, "")</f>
        <v>-2.0100502512562814E-2</v>
      </c>
      <c r="I86" s="106">
        <f>IF(ISNUMBER(G86), $B91 * H86, "")</f>
        <v>-3015.075376884422</v>
      </c>
      <c r="J86" s="102">
        <v>194</v>
      </c>
      <c r="K86" s="103">
        <f>IF(ISNUMBER(J86), (J86 - $B86) / $B86, "")</f>
        <v>-2.5125628140703519E-2</v>
      </c>
      <c r="L86" s="104">
        <f>IF(ISNUMBER(J86), $B91 * K86, "")</f>
        <v>-3768.844221105528</v>
      </c>
      <c r="M86" s="105">
        <v>195</v>
      </c>
      <c r="N86" s="103">
        <f>IF(ISNUMBER(M86), (M86 - $B86) / $B86, "")</f>
        <v>-2.0100502512562814E-2</v>
      </c>
      <c r="O86" s="104">
        <f>IF(ISNUMBER(M86), $B91 * N86, "")</f>
        <v>-3015.075376884422</v>
      </c>
      <c r="Q86" s="275"/>
      <c r="R86" s="275"/>
      <c r="S86" s="275"/>
    </row>
    <row r="87" spans="1:19" ht="17.25" thickBot="1">
      <c r="A87" s="124" t="s">
        <v>264</v>
      </c>
      <c r="B87" s="125">
        <v>179</v>
      </c>
      <c r="C87" s="73">
        <v>1.1299435E-2</v>
      </c>
      <c r="D87" s="15">
        <v>167</v>
      </c>
      <c r="E87" s="32">
        <f t="shared" ref="E87:E90" si="42">IF(ISNUMBER(D87), (D87 - $B87) / $B87, "")</f>
        <v>-6.7039106145251395E-2</v>
      </c>
      <c r="F87" s="18">
        <f>IF(ISNUMBER(D87), $B91 * E87, "")</f>
        <v>-10055.865921787708</v>
      </c>
      <c r="G87" s="31">
        <v>172</v>
      </c>
      <c r="H87" s="32">
        <f t="shared" ref="H87:H90" si="43">IF(ISNUMBER(G87), (G87 - $B87) / $B87, "")</f>
        <v>-3.9106145251396648E-2</v>
      </c>
      <c r="I87" s="97">
        <f>IF(ISNUMBER(G87), $B91 * H87, "")</f>
        <v>-5865.921787709497</v>
      </c>
      <c r="J87" s="15">
        <v>183</v>
      </c>
      <c r="K87" s="32">
        <f t="shared" ref="K87:K90" si="44">IF(ISNUMBER(J87), (J87 - $B87) / $B87, "")</f>
        <v>2.23463687150838E-2</v>
      </c>
      <c r="L87" s="18">
        <f>IF(ISNUMBER(J87), $B91 * K87, "")</f>
        <v>3351.9553072625699</v>
      </c>
      <c r="M87" s="31">
        <v>190</v>
      </c>
      <c r="N87" s="32">
        <f t="shared" ref="N87:N90" si="45">IF(ISNUMBER(M87), (M87 - $B87) / $B87, "")</f>
        <v>6.1452513966480445E-2</v>
      </c>
      <c r="O87" s="18">
        <f>IF(ISNUMBER(M87), $B91 * N87, "")</f>
        <v>9217.8770949720674</v>
      </c>
      <c r="Q87" s="275"/>
      <c r="R87" s="275"/>
      <c r="S87" s="275"/>
    </row>
    <row r="88" spans="1:19" ht="17.25" thickBot="1">
      <c r="A88" s="124" t="s">
        <v>128</v>
      </c>
      <c r="B88" s="125">
        <v>697</v>
      </c>
      <c r="C88" s="73">
        <v>2.8776978000000001E-3</v>
      </c>
      <c r="D88" s="15">
        <v>688</v>
      </c>
      <c r="E88" s="32">
        <f t="shared" si="42"/>
        <v>-1.2912482065997131E-2</v>
      </c>
      <c r="F88" s="18">
        <f>IF(ISNUMBER(D88), $B91 * E88, "")</f>
        <v>-1936.8723098995697</v>
      </c>
      <c r="G88" s="31">
        <v>723</v>
      </c>
      <c r="H88" s="32">
        <f t="shared" si="43"/>
        <v>3.7302725968436153E-2</v>
      </c>
      <c r="I88" s="97">
        <f>IF(ISNUMBER(G88), $B91 * H88, "")</f>
        <v>5595.4088952654229</v>
      </c>
      <c r="J88" s="15">
        <v>734</v>
      </c>
      <c r="K88" s="32">
        <f t="shared" si="44"/>
        <v>5.308464849354376E-2</v>
      </c>
      <c r="L88" s="18">
        <f>IF(ISNUMBER(J88), $B91 * K88, "")</f>
        <v>7962.6972740315641</v>
      </c>
      <c r="M88" s="31">
        <v>752</v>
      </c>
      <c r="N88" s="32">
        <f t="shared" si="45"/>
        <v>7.8909612625538014E-2</v>
      </c>
      <c r="O88" s="18">
        <f>IF(ISNUMBER(M88), $B91 * N88, "")</f>
        <v>11836.441893830703</v>
      </c>
      <c r="Q88" s="275"/>
      <c r="R88" s="275"/>
      <c r="S88" s="275"/>
    </row>
    <row r="89" spans="1:19">
      <c r="A89" s="124" t="s">
        <v>212</v>
      </c>
      <c r="B89" s="125">
        <v>156</v>
      </c>
      <c r="C89" s="73">
        <v>-6.3694268000000004E-3</v>
      </c>
      <c r="D89" s="15">
        <v>140</v>
      </c>
      <c r="E89" s="32">
        <f t="shared" si="42"/>
        <v>-0.10256410256410256</v>
      </c>
      <c r="F89" s="18">
        <f>IF(ISNUMBER(D89), $B91 * E89, "")</f>
        <v>-15384.615384615385</v>
      </c>
      <c r="G89" s="31">
        <v>142</v>
      </c>
      <c r="H89" s="32">
        <f t="shared" si="43"/>
        <v>-8.9743589743589744E-2</v>
      </c>
      <c r="I89" s="97">
        <f>IF(ISNUMBER(G89), $B91 * H89, "")</f>
        <v>-13461.538461538461</v>
      </c>
      <c r="J89" s="15">
        <v>146</v>
      </c>
      <c r="K89" s="32">
        <f t="shared" si="44"/>
        <v>-6.4102564102564097E-2</v>
      </c>
      <c r="L89" s="18">
        <f>IF(ISNUMBER(J89), $B91 * K89, "")</f>
        <v>-9615.3846153846152</v>
      </c>
      <c r="M89" s="31">
        <v>148</v>
      </c>
      <c r="N89" s="32">
        <f t="shared" si="45"/>
        <v>-5.128205128205128E-2</v>
      </c>
      <c r="O89" s="18">
        <f>IF(ISNUMBER(M89), $B91 * N89, "")</f>
        <v>-7692.3076923076924</v>
      </c>
      <c r="Q89" s="297"/>
      <c r="R89" s="298"/>
      <c r="S89" s="299"/>
    </row>
    <row r="90" spans="1:19" ht="17.25" thickBot="1">
      <c r="A90" s="129" t="s">
        <v>54</v>
      </c>
      <c r="B90" s="130">
        <v>373</v>
      </c>
      <c r="C90" s="75">
        <v>-1.0610079600000001E-2</v>
      </c>
      <c r="D90" s="24">
        <v>356</v>
      </c>
      <c r="E90" s="25">
        <f t="shared" si="42"/>
        <v>-4.5576407506702415E-2</v>
      </c>
      <c r="F90" s="100">
        <f>IF(ISNUMBER(D90), $B91 * E90, "")</f>
        <v>-6836.4611260053625</v>
      </c>
      <c r="G90" s="98">
        <v>364</v>
      </c>
      <c r="H90" s="25">
        <f t="shared" si="43"/>
        <v>-2.4128686327077747E-2</v>
      </c>
      <c r="I90" s="99">
        <f>IF(ISNUMBER(G90), $B91 * H90, "")</f>
        <v>-3619.3029490616618</v>
      </c>
      <c r="J90" s="24">
        <v>377</v>
      </c>
      <c r="K90" s="25">
        <f t="shared" si="44"/>
        <v>1.0723860589812333E-2</v>
      </c>
      <c r="L90" s="100">
        <f>IF(ISNUMBER(J90), $B91 * K90, "")</f>
        <v>1608.5790884718499</v>
      </c>
      <c r="M90" s="98">
        <v>372</v>
      </c>
      <c r="N90" s="25">
        <f t="shared" si="45"/>
        <v>-2.6809651474530832E-3</v>
      </c>
      <c r="O90" s="100">
        <f>IF(ISNUMBER(M90), $B91 * N90, "")</f>
        <v>-402.14477211796248</v>
      </c>
      <c r="Q90" s="300"/>
      <c r="R90" s="301"/>
      <c r="S90" s="302"/>
    </row>
    <row r="91" spans="1:19" ht="17.25" thickBot="1">
      <c r="A91" s="131" t="s">
        <v>301</v>
      </c>
      <c r="B91" s="308">
        <f>$B$37</f>
        <v>150000</v>
      </c>
      <c r="C91" s="309"/>
      <c r="D91" s="26" t="s">
        <v>302</v>
      </c>
      <c r="E91" s="27">
        <f>IF(COUNT(E71:E90), SUM(E71:E90) / COUNT(E71:E90), 0)</f>
        <v>-1.9206830885784058E-2</v>
      </c>
      <c r="F91" s="28">
        <f>SUM(F71:F90)</f>
        <v>-57620.492657352181</v>
      </c>
      <c r="G91" s="26" t="s">
        <v>302</v>
      </c>
      <c r="H91" s="27">
        <f>IF(COUNT(H71:H90), SUM(H71:H90) / COUNT(H71:H90), 0)</f>
        <v>1.2846251961457967E-2</v>
      </c>
      <c r="I91" s="28">
        <f>SUM(I71:I90)</f>
        <v>38538.75588437391</v>
      </c>
      <c r="J91" s="26" t="s">
        <v>302</v>
      </c>
      <c r="K91" s="27">
        <f>IF(COUNT(K71:K90), SUM(K71:K90) / COUNT(K71:K90), 0)</f>
        <v>4.0929496998751161E-2</v>
      </c>
      <c r="L91" s="28">
        <f>SUM(L71:L90)</f>
        <v>122788.49099625349</v>
      </c>
      <c r="M91" s="26" t="s">
        <v>302</v>
      </c>
      <c r="N91" s="27">
        <f>IF(COUNT(N71:N90), SUM(N71:N90) / COUNT(N71:N90), 0)</f>
        <v>4.6042311498343036E-2</v>
      </c>
      <c r="O91" s="28">
        <f>SUM(O71:O90)</f>
        <v>138126.93449502913</v>
      </c>
      <c r="Q91" s="303"/>
      <c r="R91" s="304"/>
      <c r="S91" s="305"/>
    </row>
    <row r="93" spans="1:19" ht="17.25" thickBot="1"/>
    <row r="94" spans="1:19" ht="17.25" thickBot="1">
      <c r="A94" s="249" t="s">
        <v>46</v>
      </c>
      <c r="B94" s="250"/>
      <c r="C94" s="250"/>
      <c r="D94" s="250"/>
      <c r="E94" s="250"/>
      <c r="F94" s="250"/>
      <c r="G94" s="250"/>
      <c r="H94" s="250"/>
      <c r="I94" s="250"/>
      <c r="J94" s="250"/>
      <c r="K94" s="250"/>
      <c r="L94" s="250"/>
      <c r="M94" s="250"/>
      <c r="N94" s="250"/>
      <c r="O94" s="251"/>
      <c r="Q94" s="270"/>
      <c r="R94" s="270"/>
      <c r="S94" s="270"/>
    </row>
    <row r="95" spans="1:19" ht="17.25" thickBot="1">
      <c r="A95" s="163" t="s">
        <v>298</v>
      </c>
      <c r="B95" s="249" t="s">
        <v>49</v>
      </c>
      <c r="C95" s="251"/>
      <c r="D95" s="249" t="s">
        <v>58</v>
      </c>
      <c r="E95" s="250"/>
      <c r="F95" s="251"/>
      <c r="G95" s="276">
        <f>_xlfn.IFNA(VLOOKUP(B95, 현재가테이블!$B$2:$D$200, 2, FALSE), "-")</f>
        <v>60874000</v>
      </c>
      <c r="H95" s="277"/>
      <c r="I95" s="278"/>
      <c r="J95" s="249" t="s">
        <v>59</v>
      </c>
      <c r="K95" s="250"/>
      <c r="L95" s="251"/>
      <c r="M95" s="279">
        <f>_xlfn.IFNA(VLOOKUP(B95, 현재가테이블!$B$2:$D$200, 3, FALSE), "-")</f>
        <v>-1.4936000099999999E-2</v>
      </c>
      <c r="N95" s="280"/>
      <c r="O95" s="281"/>
      <c r="Q95" s="270"/>
      <c r="R95" s="270"/>
      <c r="S95" s="270"/>
    </row>
    <row r="96" spans="1:19" ht="17.25" thickBot="1">
      <c r="A96" s="310" t="s">
        <v>55</v>
      </c>
      <c r="B96" s="312" t="str">
        <f>TEXT($G$1, "[$-ko-KR]yyyy-mm-dd(ddd) ") &amp; "오전 00:00"</f>
        <v>2021-05-07(금) 오전 00:00</v>
      </c>
      <c r="C96" s="313"/>
      <c r="D96" s="272" t="str">
        <f>TEXT($G$1, "[$-ko-KR]yyyy-mm-dd(ddd) ") &amp; "오후 14:00"</f>
        <v>2021-05-07(금) 오후 14:00</v>
      </c>
      <c r="E96" s="273"/>
      <c r="F96" s="274"/>
      <c r="G96" s="272" t="str">
        <f>TEXT($G$1, "[$-ko-KR]yyyy-mm-dd(ddd) ") &amp; "오후 19:00"</f>
        <v>2021-05-07(금) 오후 19:00</v>
      </c>
      <c r="H96" s="273"/>
      <c r="I96" s="274"/>
      <c r="J96" s="272" t="str">
        <f>TEXT($G$1, "[$-ko-KR]yyyy-mm-dd(ddd) ") &amp; "오후 21:00"</f>
        <v>2021-05-07(금) 오후 21:00</v>
      </c>
      <c r="K96" s="273"/>
      <c r="L96" s="274"/>
      <c r="M96" s="272" t="str">
        <f>TEXT($G$1+1, "[$-ko-KR]yyyy-mm-dd(ddd) ") &amp; "오전 00:00"</f>
        <v>2021-05-08(토) 오전 00:00</v>
      </c>
      <c r="N96" s="273"/>
      <c r="O96" s="274"/>
      <c r="Q96" s="270"/>
      <c r="R96" s="270"/>
      <c r="S96" s="270"/>
    </row>
    <row r="97" spans="1:19" ht="17.25" thickBot="1">
      <c r="A97" s="311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4" t="s">
        <v>58</v>
      </c>
      <c r="H97" s="165" t="s">
        <v>299</v>
      </c>
      <c r="I97" s="166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75"/>
      <c r="R97" s="275"/>
      <c r="S97" s="275"/>
    </row>
    <row r="98" spans="1:19" ht="17.25" thickBot="1">
      <c r="A98" s="122" t="s">
        <v>188</v>
      </c>
      <c r="B98" s="123">
        <v>26350</v>
      </c>
      <c r="C98" s="72">
        <v>0.2324602432</v>
      </c>
      <c r="D98" s="13">
        <v>37620</v>
      </c>
      <c r="E98" s="14">
        <f>IF(ISNUMBER(D98), (D98 - $B98) / $B98, "")</f>
        <v>0.42770398481973437</v>
      </c>
      <c r="F98" s="16">
        <f>IF(ISNUMBER(D98), $B118 * E98, "")</f>
        <v>64155.597722960156</v>
      </c>
      <c r="G98" s="29">
        <v>40130</v>
      </c>
      <c r="H98" s="14">
        <f>IF(ISNUMBER(G98), (G98 - $B98) / $B98, "")</f>
        <v>0.52296015180265654</v>
      </c>
      <c r="I98" s="96">
        <f>IF(ISNUMBER(G98), $B118 * H98, "")</f>
        <v>78444.022770398486</v>
      </c>
      <c r="J98" s="13">
        <v>37610</v>
      </c>
      <c r="K98" s="14">
        <f>IF(ISNUMBER(J98), (J98 - $B98) / $B98, "")</f>
        <v>0.42732447817836811</v>
      </c>
      <c r="L98" s="16">
        <f>IF(ISNUMBER(J98), $B118 * K98, "")</f>
        <v>64098.671726755216</v>
      </c>
      <c r="M98" s="29">
        <v>35420</v>
      </c>
      <c r="N98" s="14">
        <f>IF(ISNUMBER(M98), (M98 - $B98) / $B98, "")</f>
        <v>0.34421252371916511</v>
      </c>
      <c r="O98" s="16">
        <f>IF(ISNUMBER(M98), $B118 * N98, "")</f>
        <v>51631.878557874763</v>
      </c>
      <c r="Q98" s="270"/>
      <c r="R98" s="270"/>
      <c r="S98" s="270"/>
    </row>
    <row r="99" spans="1:19" ht="17.25" thickBot="1">
      <c r="A99" s="124" t="s">
        <v>102</v>
      </c>
      <c r="B99" s="125">
        <v>137000</v>
      </c>
      <c r="C99" s="73">
        <v>0.22321428569999999</v>
      </c>
      <c r="D99" s="15">
        <v>163950</v>
      </c>
      <c r="E99" s="32">
        <f t="shared" ref="E99:E102" si="46">IF(ISNUMBER(D99), (D99 - $B99) / $B99, "")</f>
        <v>0.19671532846715328</v>
      </c>
      <c r="F99" s="18">
        <f>IF(ISNUMBER(D99), $B118 * E99, "")</f>
        <v>29507.299270072992</v>
      </c>
      <c r="G99" s="31">
        <v>169350</v>
      </c>
      <c r="H99" s="32">
        <f t="shared" ref="H99:H102" si="47">IF(ISNUMBER(G99), (G99 - $B99) / $B99, "")</f>
        <v>0.23613138686131388</v>
      </c>
      <c r="I99" s="97">
        <f>IF(ISNUMBER(G99), $B118 * H99, "")</f>
        <v>35419.708029197085</v>
      </c>
      <c r="J99" s="15">
        <v>164950</v>
      </c>
      <c r="K99" s="32">
        <f t="shared" ref="K99:K102" si="48">IF(ISNUMBER(J99), (J99 - $B99) / $B99, "")</f>
        <v>0.20401459854014597</v>
      </c>
      <c r="L99" s="18">
        <f>IF(ISNUMBER(J99), $B118 * K99, "")</f>
        <v>30602.189781021898</v>
      </c>
      <c r="M99" s="31">
        <v>159300</v>
      </c>
      <c r="N99" s="32">
        <f t="shared" ref="N99:N102" si="49">IF(ISNUMBER(M99), (M99 - $B99) / $B99, "")</f>
        <v>0.16277372262773723</v>
      </c>
      <c r="O99" s="18">
        <f>IF(ISNUMBER(M99), $B118 * N99, "")</f>
        <v>24416.058394160584</v>
      </c>
      <c r="Q99" s="270"/>
      <c r="R99" s="270"/>
      <c r="S99" s="270"/>
    </row>
    <row r="100" spans="1:19" ht="17.25" thickBot="1">
      <c r="A100" s="124" t="s">
        <v>248</v>
      </c>
      <c r="B100" s="125">
        <v>4055</v>
      </c>
      <c r="C100" s="73">
        <v>0.2104477612</v>
      </c>
      <c r="D100" s="15">
        <v>3615</v>
      </c>
      <c r="E100" s="32">
        <f t="shared" si="46"/>
        <v>-0.10850801479654747</v>
      </c>
      <c r="F100" s="18">
        <f>IF(ISNUMBER(D100), $B118 * E100, "")</f>
        <v>-16276.20221948212</v>
      </c>
      <c r="G100" s="31">
        <v>4085</v>
      </c>
      <c r="H100" s="32">
        <f t="shared" si="47"/>
        <v>7.3982737361282368E-3</v>
      </c>
      <c r="I100" s="97">
        <f>IF(ISNUMBER(G100), $B118 * H100, "")</f>
        <v>1109.7410604192355</v>
      </c>
      <c r="J100" s="15">
        <v>4180</v>
      </c>
      <c r="K100" s="32">
        <f t="shared" si="48"/>
        <v>3.0826140567200986E-2</v>
      </c>
      <c r="L100" s="18">
        <f>IF(ISNUMBER(J100), $B118 * K100, "")</f>
        <v>4623.9210850801483</v>
      </c>
      <c r="M100" s="31">
        <v>4275</v>
      </c>
      <c r="N100" s="32">
        <f t="shared" si="49"/>
        <v>5.4254007398273733E-2</v>
      </c>
      <c r="O100" s="18">
        <f>IF(ISNUMBER(M100), $B118 * N100, "")</f>
        <v>8138.1011097410601</v>
      </c>
      <c r="Q100" s="275"/>
      <c r="R100" s="275"/>
      <c r="S100" s="275"/>
    </row>
    <row r="101" spans="1:19" ht="17.25" thickBot="1">
      <c r="A101" s="124" t="s">
        <v>262</v>
      </c>
      <c r="B101" s="125">
        <v>1300</v>
      </c>
      <c r="C101" s="73">
        <v>0.16071428569999999</v>
      </c>
      <c r="D101" s="15">
        <v>1360</v>
      </c>
      <c r="E101" s="32">
        <f t="shared" si="46"/>
        <v>4.6153846153846156E-2</v>
      </c>
      <c r="F101" s="18">
        <f>IF(ISNUMBER(D101), $B118 * E101, "")</f>
        <v>6923.0769230769238</v>
      </c>
      <c r="G101" s="31">
        <v>1385</v>
      </c>
      <c r="H101" s="32">
        <f t="shared" si="47"/>
        <v>6.5384615384615388E-2</v>
      </c>
      <c r="I101" s="97">
        <f>IF(ISNUMBER(G101), $B118 * H101, "")</f>
        <v>9807.6923076923085</v>
      </c>
      <c r="J101" s="15">
        <v>1505</v>
      </c>
      <c r="K101" s="32">
        <f t="shared" si="48"/>
        <v>0.15769230769230769</v>
      </c>
      <c r="L101" s="18">
        <f>IF(ISNUMBER(J101), $B118 * K101, "")</f>
        <v>23653.846153846152</v>
      </c>
      <c r="M101" s="31">
        <v>1530</v>
      </c>
      <c r="N101" s="32">
        <f t="shared" si="49"/>
        <v>0.17692307692307693</v>
      </c>
      <c r="O101" s="18">
        <f>IF(ISNUMBER(M101), $B118 * N101, "")</f>
        <v>26538.461538461539</v>
      </c>
      <c r="Q101" s="275"/>
      <c r="R101" s="275"/>
      <c r="S101" s="275"/>
    </row>
    <row r="102" spans="1:19" ht="17.25" thickBot="1">
      <c r="A102" s="126" t="s">
        <v>136</v>
      </c>
      <c r="B102" s="127">
        <v>292</v>
      </c>
      <c r="C102" s="74">
        <v>0.15415019760000001</v>
      </c>
      <c r="D102" s="20">
        <v>274</v>
      </c>
      <c r="E102" s="21">
        <f t="shared" si="46"/>
        <v>-6.1643835616438353E-2</v>
      </c>
      <c r="F102" s="22">
        <f>IF(ISNUMBER(D102), $B118 * E102, "")</f>
        <v>-9246.5753424657523</v>
      </c>
      <c r="G102" s="30">
        <v>279</v>
      </c>
      <c r="H102" s="21">
        <f t="shared" si="47"/>
        <v>-4.4520547945205477E-2</v>
      </c>
      <c r="I102" s="101">
        <f>IF(ISNUMBER(G102), $B118 * H102, "")</f>
        <v>-6678.0821917808216</v>
      </c>
      <c r="J102" s="20">
        <v>287</v>
      </c>
      <c r="K102" s="21">
        <f t="shared" si="48"/>
        <v>-1.7123287671232876E-2</v>
      </c>
      <c r="L102" s="22">
        <f>IF(ISNUMBER(J102), $B118 * K102, "")</f>
        <v>-2568.4931506849312</v>
      </c>
      <c r="M102" s="30">
        <v>282</v>
      </c>
      <c r="N102" s="21">
        <f t="shared" si="49"/>
        <v>-3.4246575342465752E-2</v>
      </c>
      <c r="O102" s="22">
        <f>IF(ISNUMBER(M102), $B118 * N102, "")</f>
        <v>-5136.9863013698623</v>
      </c>
      <c r="Q102" s="275"/>
      <c r="R102" s="275"/>
      <c r="S102" s="275"/>
    </row>
    <row r="103" spans="1:19" ht="17.25" thickBot="1">
      <c r="A103" s="124" t="s">
        <v>168</v>
      </c>
      <c r="B103" s="128">
        <v>255</v>
      </c>
      <c r="C103" s="76">
        <v>0.13839285709999999</v>
      </c>
      <c r="D103" s="102">
        <v>258</v>
      </c>
      <c r="E103" s="103">
        <f>IF(ISNUMBER(D103), (D103 - $B103) / $B103, "")</f>
        <v>1.1764705882352941E-2</v>
      </c>
      <c r="F103" s="104">
        <f>IF(ISNUMBER(D103), $B118 * E103, "")</f>
        <v>1764.7058823529412</v>
      </c>
      <c r="G103" s="105">
        <v>262</v>
      </c>
      <c r="H103" s="103">
        <f>IF(ISNUMBER(G103), (G103 - $B103) / $B103, "")</f>
        <v>2.7450980392156862E-2</v>
      </c>
      <c r="I103" s="106">
        <f>IF(ISNUMBER(G103), $B118 * H103, "")</f>
        <v>4117.6470588235297</v>
      </c>
      <c r="J103" s="102">
        <v>270</v>
      </c>
      <c r="K103" s="103">
        <f>IF(ISNUMBER(J103), (J103 - $B103) / $B103, "")</f>
        <v>5.8823529411764705E-2</v>
      </c>
      <c r="L103" s="104">
        <f>IF(ISNUMBER(J103), $B118 * K103, "")</f>
        <v>8823.5294117647063</v>
      </c>
      <c r="M103" s="105">
        <v>261</v>
      </c>
      <c r="N103" s="103">
        <f>IF(ISNUMBER(M103), (M103 - $B103) / $B103, "")</f>
        <v>2.3529411764705882E-2</v>
      </c>
      <c r="O103" s="104">
        <f>IF(ISNUMBER(M103), $B118 * N103, "")</f>
        <v>3529.4117647058824</v>
      </c>
      <c r="Q103" s="275"/>
      <c r="R103" s="275"/>
      <c r="S103" s="275"/>
    </row>
    <row r="104" spans="1:19" ht="17.25" thickBot="1">
      <c r="A104" s="124" t="s">
        <v>94</v>
      </c>
      <c r="B104" s="125">
        <v>184150</v>
      </c>
      <c r="C104" s="73">
        <v>0.1276791182</v>
      </c>
      <c r="D104" s="15">
        <v>159450</v>
      </c>
      <c r="E104" s="32">
        <f t="shared" ref="E104:E107" si="50">IF(ISNUMBER(D104), (D104 - $B104) / $B104, "")</f>
        <v>-0.13412978550095031</v>
      </c>
      <c r="F104" s="18">
        <f>IF(ISNUMBER(D104), $B118 * E104, "")</f>
        <v>-20119.467825142547</v>
      </c>
      <c r="G104" s="31">
        <v>160100</v>
      </c>
      <c r="H104" s="32">
        <f t="shared" ref="H104:H107" si="51">IF(ISNUMBER(G104), (G104 - $B104) / $B104, "")</f>
        <v>-0.1306000543035569</v>
      </c>
      <c r="I104" s="97">
        <f>IF(ISNUMBER(G104), $B118 * H104, "")</f>
        <v>-19590.008145533535</v>
      </c>
      <c r="J104" s="15">
        <v>165450</v>
      </c>
      <c r="K104" s="32">
        <f t="shared" ref="K104:K107" si="52">IF(ISNUMBER(J104), (J104 - $B104) / $B104, "")</f>
        <v>-0.10154765137116481</v>
      </c>
      <c r="L104" s="18">
        <f>IF(ISNUMBER(J104), $B118 * K104, "")</f>
        <v>-15232.147705674721</v>
      </c>
      <c r="M104" s="31">
        <v>162950</v>
      </c>
      <c r="N104" s="32">
        <f t="shared" ref="N104:N107" si="53">IF(ISNUMBER(M104), (M104 - $B104) / $B104, "")</f>
        <v>-0.11512354059190877</v>
      </c>
      <c r="O104" s="18">
        <f>IF(ISNUMBER(M104), $B118 * N104, "")</f>
        <v>-17268.531088786316</v>
      </c>
      <c r="Q104" s="275"/>
      <c r="R104" s="275"/>
      <c r="S104" s="275"/>
    </row>
    <row r="105" spans="1:19" ht="17.25" thickBot="1">
      <c r="A105" s="124" t="s">
        <v>98</v>
      </c>
      <c r="B105" s="125">
        <v>8825</v>
      </c>
      <c r="C105" s="73">
        <v>0.1163820367</v>
      </c>
      <c r="D105" s="15">
        <v>9250</v>
      </c>
      <c r="E105" s="32">
        <f t="shared" si="50"/>
        <v>4.8158640226628892E-2</v>
      </c>
      <c r="F105" s="18">
        <f>IF(ISNUMBER(D105), $B118 * E105, "")</f>
        <v>7223.7960339943338</v>
      </c>
      <c r="G105" s="31">
        <v>9060</v>
      </c>
      <c r="H105" s="32">
        <f t="shared" si="51"/>
        <v>2.6628895184135977E-2</v>
      </c>
      <c r="I105" s="97">
        <f>IF(ISNUMBER(G105), $B118 * H105, "")</f>
        <v>3994.3342776203967</v>
      </c>
      <c r="J105" s="15">
        <v>8970</v>
      </c>
      <c r="K105" s="32">
        <f t="shared" si="52"/>
        <v>1.643059490084986E-2</v>
      </c>
      <c r="L105" s="18">
        <f>IF(ISNUMBER(J105), $B118 * K105, "")</f>
        <v>2464.5892351274788</v>
      </c>
      <c r="M105" s="31">
        <v>8775</v>
      </c>
      <c r="N105" s="32">
        <f t="shared" si="53"/>
        <v>-5.6657223796033997E-3</v>
      </c>
      <c r="O105" s="18">
        <f>IF(ISNUMBER(M105), $B118 * N105, "")</f>
        <v>-849.85835694050991</v>
      </c>
      <c r="Q105" s="275"/>
      <c r="R105" s="275"/>
      <c r="S105" s="275"/>
    </row>
    <row r="106" spans="1:19" ht="17.25" thickBot="1">
      <c r="A106" s="124" t="s">
        <v>84</v>
      </c>
      <c r="B106" s="125">
        <v>1970</v>
      </c>
      <c r="C106" s="73">
        <v>0.1161473088</v>
      </c>
      <c r="D106" s="15">
        <v>1920</v>
      </c>
      <c r="E106" s="32">
        <f t="shared" si="50"/>
        <v>-2.5380710659898477E-2</v>
      </c>
      <c r="F106" s="18">
        <f>IF(ISNUMBER(D106), $B118 * E106, "")</f>
        <v>-3807.1065989847716</v>
      </c>
      <c r="G106" s="31">
        <v>1970</v>
      </c>
      <c r="H106" s="32">
        <f t="shared" si="51"/>
        <v>0</v>
      </c>
      <c r="I106" s="97">
        <f>IF(ISNUMBER(G106), $B118 * H106, "")</f>
        <v>0</v>
      </c>
      <c r="J106" s="15">
        <v>2055</v>
      </c>
      <c r="K106" s="32">
        <f t="shared" si="52"/>
        <v>4.3147208121827409E-2</v>
      </c>
      <c r="L106" s="18">
        <f>IF(ISNUMBER(J106), $B118 * K106, "")</f>
        <v>6472.0812182741111</v>
      </c>
      <c r="M106" s="31">
        <v>2025</v>
      </c>
      <c r="N106" s="32">
        <f t="shared" si="53"/>
        <v>2.7918781725888325E-2</v>
      </c>
      <c r="O106" s="18">
        <f>IF(ISNUMBER(M106), $B118 * N106, "")</f>
        <v>4187.8172588832485</v>
      </c>
      <c r="Q106" s="33"/>
      <c r="R106" s="33"/>
    </row>
    <row r="107" spans="1:19" ht="17.25" thickBot="1">
      <c r="A107" s="129" t="s">
        <v>184</v>
      </c>
      <c r="B107" s="130">
        <v>2845</v>
      </c>
      <c r="C107" s="75">
        <v>0.1135029354</v>
      </c>
      <c r="D107" s="24">
        <v>2820</v>
      </c>
      <c r="E107" s="25">
        <f t="shared" si="50"/>
        <v>-8.7873462214411256E-3</v>
      </c>
      <c r="F107" s="100">
        <f>IF(ISNUMBER(D107), $B118 * E107, "")</f>
        <v>-1318.1019332161688</v>
      </c>
      <c r="G107" s="98">
        <v>3005</v>
      </c>
      <c r="H107" s="25">
        <f t="shared" si="51"/>
        <v>5.6239015817223195E-2</v>
      </c>
      <c r="I107" s="99">
        <f>IF(ISNUMBER(G107), $B118 * H107, "")</f>
        <v>8435.8523725834784</v>
      </c>
      <c r="J107" s="24">
        <v>2955</v>
      </c>
      <c r="K107" s="25">
        <f t="shared" si="52"/>
        <v>3.8664323374340948E-2</v>
      </c>
      <c r="L107" s="100">
        <f>IF(ISNUMBER(J107), $B118 * K107, "")</f>
        <v>5799.6485061511421</v>
      </c>
      <c r="M107" s="98">
        <v>3070</v>
      </c>
      <c r="N107" s="25">
        <f t="shared" si="53"/>
        <v>7.9086115992970121E-2</v>
      </c>
      <c r="O107" s="100">
        <f>IF(ISNUMBER(M107), $B118 * N107, "")</f>
        <v>11862.917398945518</v>
      </c>
      <c r="Q107" s="284"/>
      <c r="R107" s="285"/>
      <c r="S107" s="286"/>
    </row>
    <row r="108" spans="1:19">
      <c r="A108" s="122" t="s">
        <v>100</v>
      </c>
      <c r="B108" s="123">
        <v>9.58</v>
      </c>
      <c r="C108" s="72">
        <v>0.1062355658</v>
      </c>
      <c r="D108" s="13">
        <v>10.3</v>
      </c>
      <c r="E108" s="14">
        <f>IF(ISNUMBER(D108), (D108 - $B108) / $B108, "")</f>
        <v>7.5156576200417602E-2</v>
      </c>
      <c r="F108" s="16">
        <f>IF(ISNUMBER(D108), $B118 * E108, "")</f>
        <v>11273.48643006264</v>
      </c>
      <c r="G108" s="29">
        <v>10.4</v>
      </c>
      <c r="H108" s="14">
        <f>IF(ISNUMBER(G108), (G108 - $B108) / $B108, "")</f>
        <v>8.5594989561586662E-2</v>
      </c>
      <c r="I108" s="96">
        <f>IF(ISNUMBER(G108), $B118 * H108, "")</f>
        <v>12839.248434237999</v>
      </c>
      <c r="J108" s="13">
        <v>10.1</v>
      </c>
      <c r="K108" s="14">
        <f>IF(ISNUMBER(J108), (J108 - $B108) / $B108, "")</f>
        <v>5.4279749478079287E-2</v>
      </c>
      <c r="L108" s="16">
        <f>IF(ISNUMBER(J108), $B118 * K108, "")</f>
        <v>8141.9624217118926</v>
      </c>
      <c r="M108" s="29">
        <v>9.85</v>
      </c>
      <c r="N108" s="14">
        <f>IF(ISNUMBER(M108), (M108 - $B108) / $B108, "")</f>
        <v>2.8183716075156531E-2</v>
      </c>
      <c r="O108" s="16">
        <f>IF(ISNUMBER(M108), $B118 * N108, "")</f>
        <v>4227.5574112734794</v>
      </c>
      <c r="Q108" s="287"/>
      <c r="R108" s="288"/>
      <c r="S108" s="289"/>
    </row>
    <row r="109" spans="1:19" ht="17.25" thickBot="1">
      <c r="A109" s="124" t="s">
        <v>86</v>
      </c>
      <c r="B109" s="125">
        <v>11500</v>
      </c>
      <c r="C109" s="73">
        <v>0.1047070125</v>
      </c>
      <c r="D109" s="15">
        <v>14260</v>
      </c>
      <c r="E109" s="32">
        <f t="shared" ref="E109:E112" si="54">IF(ISNUMBER(D109), (D109 - $B109) / $B109, "")</f>
        <v>0.24</v>
      </c>
      <c r="F109" s="18">
        <f>IF(ISNUMBER(D109), $B118 * E109, "")</f>
        <v>36000</v>
      </c>
      <c r="G109" s="31">
        <v>14460</v>
      </c>
      <c r="H109" s="32">
        <f t="shared" ref="H109:H112" si="55">IF(ISNUMBER(G109), (G109 - $B109) / $B109, "")</f>
        <v>0.25739130434782609</v>
      </c>
      <c r="I109" s="97">
        <f>IF(ISNUMBER(G109), $B118 * H109, "")</f>
        <v>38608.695652173912</v>
      </c>
      <c r="J109" s="15">
        <v>13830</v>
      </c>
      <c r="K109" s="32">
        <f t="shared" ref="K109:K112" si="56">IF(ISNUMBER(J109), (J109 - $B109) / $B109, "")</f>
        <v>0.2026086956521739</v>
      </c>
      <c r="L109" s="18">
        <f>IF(ISNUMBER(J109), $B118 * K109, "")</f>
        <v>30391.304347826084</v>
      </c>
      <c r="M109" s="31">
        <v>12930</v>
      </c>
      <c r="N109" s="32">
        <f t="shared" ref="N109:N112" si="57">IF(ISNUMBER(M109), (M109 - $B109) / $B109, "")</f>
        <v>0.12434782608695652</v>
      </c>
      <c r="O109" s="18">
        <f>IF(ISNUMBER(M109), $B118 * N109, "")</f>
        <v>18652.173913043476</v>
      </c>
      <c r="Q109" s="290"/>
      <c r="R109" s="291"/>
      <c r="S109" s="292"/>
    </row>
    <row r="110" spans="1:19" ht="17.25" thickBot="1">
      <c r="A110" s="124" t="s">
        <v>242</v>
      </c>
      <c r="B110" s="125">
        <v>8015</v>
      </c>
      <c r="C110" s="73">
        <v>8.3840432699999995E-2</v>
      </c>
      <c r="D110" s="15">
        <v>9675</v>
      </c>
      <c r="E110" s="32">
        <f t="shared" si="54"/>
        <v>0.20711166562694946</v>
      </c>
      <c r="F110" s="18">
        <f>IF(ISNUMBER(D110), $B118 * E110, "")</f>
        <v>31066.749844042421</v>
      </c>
      <c r="G110" s="31">
        <v>10180</v>
      </c>
      <c r="H110" s="32">
        <f t="shared" si="55"/>
        <v>0.27011852776044915</v>
      </c>
      <c r="I110" s="97">
        <f>IF(ISNUMBER(G110), $B118 * H110, "")</f>
        <v>40517.779164067375</v>
      </c>
      <c r="J110" s="15">
        <v>11800</v>
      </c>
      <c r="K110" s="32">
        <f t="shared" si="56"/>
        <v>0.47223955084217095</v>
      </c>
      <c r="L110" s="18">
        <f>IF(ISNUMBER(J110), $B118 * K110, "")</f>
        <v>70835.932626325637</v>
      </c>
      <c r="M110" s="31">
        <v>13180</v>
      </c>
      <c r="N110" s="32">
        <f t="shared" si="57"/>
        <v>0.64441671865252648</v>
      </c>
      <c r="O110" s="18">
        <f>IF(ISNUMBER(M110), $B118 * N110, "")</f>
        <v>96662.507797878978</v>
      </c>
      <c r="Q110" s="275"/>
      <c r="R110" s="275"/>
      <c r="S110" s="275"/>
    </row>
    <row r="111" spans="1:19" ht="17.25" thickBot="1">
      <c r="A111" s="124" t="s">
        <v>72</v>
      </c>
      <c r="B111" s="125">
        <v>39</v>
      </c>
      <c r="C111" s="73">
        <v>7.4380165299999995E-2</v>
      </c>
      <c r="D111" s="15">
        <v>36.5</v>
      </c>
      <c r="E111" s="32">
        <f t="shared" si="54"/>
        <v>-6.4102564102564097E-2</v>
      </c>
      <c r="F111" s="18">
        <f>IF(ISNUMBER(D111), $B118 * E111, "")</f>
        <v>-9615.3846153846152</v>
      </c>
      <c r="G111" s="31">
        <v>36.799999999999997</v>
      </c>
      <c r="H111" s="32">
        <f t="shared" si="55"/>
        <v>-5.641025641025648E-2</v>
      </c>
      <c r="I111" s="97">
        <f>IF(ISNUMBER(G111), $B118 * H111, "")</f>
        <v>-8461.5384615384719</v>
      </c>
      <c r="J111" s="15">
        <v>38.1</v>
      </c>
      <c r="K111" s="32">
        <f t="shared" si="56"/>
        <v>-2.307692307692304E-2</v>
      </c>
      <c r="L111" s="18">
        <f>IF(ISNUMBER(J111), $B118 * K111, "")</f>
        <v>-3461.538461538456</v>
      </c>
      <c r="M111" s="31">
        <v>39.1</v>
      </c>
      <c r="N111" s="32">
        <f t="shared" si="57"/>
        <v>2.5641025641026005E-3</v>
      </c>
      <c r="O111" s="18">
        <f>IF(ISNUMBER(M111), $B118 * N111, "")</f>
        <v>384.6153846153901</v>
      </c>
      <c r="Q111" s="270"/>
      <c r="R111" s="270"/>
      <c r="S111" s="270"/>
    </row>
    <row r="112" spans="1:19" ht="17.25" thickBot="1">
      <c r="A112" s="126" t="s">
        <v>104</v>
      </c>
      <c r="B112" s="127">
        <v>2765</v>
      </c>
      <c r="C112" s="74">
        <v>7.3786407799999995E-2</v>
      </c>
      <c r="D112" s="20">
        <v>3210</v>
      </c>
      <c r="E112" s="21">
        <f t="shared" si="54"/>
        <v>0.16094032549728751</v>
      </c>
      <c r="F112" s="22">
        <f>IF(ISNUMBER(D112), $B118 * E112, "")</f>
        <v>24141.048824593126</v>
      </c>
      <c r="G112" s="30">
        <v>3210</v>
      </c>
      <c r="H112" s="21">
        <f t="shared" si="55"/>
        <v>0.16094032549728751</v>
      </c>
      <c r="I112" s="101">
        <f>IF(ISNUMBER(G112), $B118 * H112, "")</f>
        <v>24141.048824593126</v>
      </c>
      <c r="J112" s="20">
        <v>3200</v>
      </c>
      <c r="K112" s="21">
        <f t="shared" si="56"/>
        <v>0.15732368896925858</v>
      </c>
      <c r="L112" s="22">
        <f>IF(ISNUMBER(J112), $B118 * K112, "")</f>
        <v>23598.553345388787</v>
      </c>
      <c r="M112" s="30">
        <v>3060</v>
      </c>
      <c r="N112" s="21">
        <f t="shared" si="57"/>
        <v>0.10669077757685352</v>
      </c>
      <c r="O112" s="22">
        <f>IF(ISNUMBER(M112), $B118 * N112, "")</f>
        <v>16003.616636528028</v>
      </c>
      <c r="Q112" s="270"/>
      <c r="R112" s="270"/>
      <c r="S112" s="270"/>
    </row>
    <row r="113" spans="1:19" ht="17.25" thickBot="1">
      <c r="A113" s="124" t="s">
        <v>182</v>
      </c>
      <c r="B113" s="128">
        <v>515</v>
      </c>
      <c r="C113" s="76">
        <v>7.2916666699999994E-2</v>
      </c>
      <c r="D113" s="102">
        <v>498</v>
      </c>
      <c r="E113" s="103">
        <f>IF(ISNUMBER(D113), (D113 - $B113) / $B113, "")</f>
        <v>-3.3009708737864081E-2</v>
      </c>
      <c r="F113" s="104">
        <f>IF(ISNUMBER(D113), $B118 * E113, "")</f>
        <v>-4951.4563106796122</v>
      </c>
      <c r="G113" s="105">
        <v>536</v>
      </c>
      <c r="H113" s="103">
        <f>IF(ISNUMBER(G113), (G113 - $B113) / $B113, "")</f>
        <v>4.0776699029126215E-2</v>
      </c>
      <c r="I113" s="106">
        <f>IF(ISNUMBER(G113), $B118 * H113, "")</f>
        <v>6116.5048543689327</v>
      </c>
      <c r="J113" s="102">
        <v>559</v>
      </c>
      <c r="K113" s="103">
        <f>IF(ISNUMBER(J113), (J113 - $B113) / $B113, "")</f>
        <v>8.5436893203883493E-2</v>
      </c>
      <c r="L113" s="104">
        <f>IF(ISNUMBER(J113), $B118 * K113, "")</f>
        <v>12815.533980582524</v>
      </c>
      <c r="M113" s="105">
        <v>569</v>
      </c>
      <c r="N113" s="103">
        <f>IF(ISNUMBER(M113), (M113 - $B113) / $B113, "")</f>
        <v>0.10485436893203884</v>
      </c>
      <c r="O113" s="104">
        <f>IF(ISNUMBER(M113), $B118 * N113, "")</f>
        <v>15728.155339805826</v>
      </c>
      <c r="Q113" s="275"/>
      <c r="R113" s="275"/>
      <c r="S113" s="275"/>
    </row>
    <row r="114" spans="1:19" ht="17.25" thickBot="1">
      <c r="A114" s="124" t="s">
        <v>132</v>
      </c>
      <c r="B114" s="125">
        <v>265</v>
      </c>
      <c r="C114" s="73">
        <v>6.8548387099999997E-2</v>
      </c>
      <c r="D114" s="15">
        <v>282</v>
      </c>
      <c r="E114" s="32">
        <f t="shared" ref="E114:E117" si="58">IF(ISNUMBER(D114), (D114 - $B114) / $B114, "")</f>
        <v>6.4150943396226415E-2</v>
      </c>
      <c r="F114" s="18">
        <f>IF(ISNUMBER(D114), $B118 * E114, "")</f>
        <v>9622.6415094339627</v>
      </c>
      <c r="G114" s="31">
        <v>287</v>
      </c>
      <c r="H114" s="32">
        <f t="shared" ref="H114:H117" si="59">IF(ISNUMBER(G114), (G114 - $B114) / $B114, "")</f>
        <v>8.3018867924528297E-2</v>
      </c>
      <c r="I114" s="97">
        <f>IF(ISNUMBER(G114), $B118 * H114, "")</f>
        <v>12452.830188679245</v>
      </c>
      <c r="J114" s="15">
        <v>294</v>
      </c>
      <c r="K114" s="32">
        <f t="shared" ref="K114:K117" si="60">IF(ISNUMBER(J114), (J114 - $B114) / $B114, "")</f>
        <v>0.10943396226415095</v>
      </c>
      <c r="L114" s="18">
        <f>IF(ISNUMBER(J114), $B118 * K114, "")</f>
        <v>16415.094339622643</v>
      </c>
      <c r="M114" s="31">
        <v>291</v>
      </c>
      <c r="N114" s="32">
        <f t="shared" ref="N114:N117" si="61">IF(ISNUMBER(M114), (M114 - $B114) / $B114, "")</f>
        <v>9.8113207547169817E-2</v>
      </c>
      <c r="O114" s="18">
        <f>IF(ISNUMBER(M114), $B118 * N114, "")</f>
        <v>14716.981132075472</v>
      </c>
      <c r="Q114" s="275"/>
      <c r="R114" s="275"/>
      <c r="S114" s="275"/>
    </row>
    <row r="115" spans="1:19" ht="17.25" thickBot="1">
      <c r="A115" s="124" t="s">
        <v>106</v>
      </c>
      <c r="B115" s="125">
        <v>2400</v>
      </c>
      <c r="C115" s="73">
        <v>6.6666666700000002E-2</v>
      </c>
      <c r="D115" s="15">
        <v>2480</v>
      </c>
      <c r="E115" s="32">
        <f t="shared" si="58"/>
        <v>3.3333333333333333E-2</v>
      </c>
      <c r="F115" s="18">
        <f>IF(ISNUMBER(D115), $B118 * E115, "")</f>
        <v>5000</v>
      </c>
      <c r="G115" s="31">
        <v>2550</v>
      </c>
      <c r="H115" s="32">
        <f t="shared" si="59"/>
        <v>6.25E-2</v>
      </c>
      <c r="I115" s="97">
        <f>IF(ISNUMBER(G115), $B118 * H115, "")</f>
        <v>9375</v>
      </c>
      <c r="J115" s="15">
        <v>2625</v>
      </c>
      <c r="K115" s="32">
        <f t="shared" si="60"/>
        <v>9.375E-2</v>
      </c>
      <c r="L115" s="18">
        <f>IF(ISNUMBER(J115), $B118 * K115, "")</f>
        <v>14062.5</v>
      </c>
      <c r="M115" s="31">
        <v>2585</v>
      </c>
      <c r="N115" s="32">
        <f t="shared" si="61"/>
        <v>7.7083333333333337E-2</v>
      </c>
      <c r="O115" s="18">
        <f>IF(ISNUMBER(M115), $B118 * N115, "")</f>
        <v>11562.5</v>
      </c>
      <c r="Q115" s="275"/>
      <c r="R115" s="275"/>
      <c r="S115" s="275"/>
    </row>
    <row r="116" spans="1:19">
      <c r="A116" s="124" t="s">
        <v>118</v>
      </c>
      <c r="B116" s="125">
        <v>7875</v>
      </c>
      <c r="C116" s="73">
        <v>6.2753036400000003E-2</v>
      </c>
      <c r="D116" s="15">
        <v>7340</v>
      </c>
      <c r="E116" s="32">
        <f t="shared" si="58"/>
        <v>-6.7936507936507934E-2</v>
      </c>
      <c r="F116" s="18">
        <f>IF(ISNUMBER(D116), $B118 * E116, "")</f>
        <v>-10190.476190476191</v>
      </c>
      <c r="G116" s="31">
        <v>7855</v>
      </c>
      <c r="H116" s="32">
        <f t="shared" si="59"/>
        <v>-2.5396825396825397E-3</v>
      </c>
      <c r="I116" s="97">
        <f>IF(ISNUMBER(G116), $B118 * H116, "")</f>
        <v>-380.95238095238096</v>
      </c>
      <c r="J116" s="15">
        <v>8105</v>
      </c>
      <c r="K116" s="32">
        <f t="shared" si="60"/>
        <v>2.9206349206349208E-2</v>
      </c>
      <c r="L116" s="18">
        <f>IF(ISNUMBER(J116), $B118 * K116, "")</f>
        <v>4380.9523809523816</v>
      </c>
      <c r="M116" s="31">
        <v>8225</v>
      </c>
      <c r="N116" s="32">
        <f t="shared" si="61"/>
        <v>4.4444444444444446E-2</v>
      </c>
      <c r="O116" s="18">
        <f>IF(ISNUMBER(M116), $B118 * N116, "")</f>
        <v>6666.666666666667</v>
      </c>
      <c r="Q116" s="297"/>
      <c r="R116" s="298"/>
      <c r="S116" s="299"/>
    </row>
    <row r="117" spans="1:19" ht="17.25" thickBot="1">
      <c r="A117" s="129" t="s">
        <v>152</v>
      </c>
      <c r="B117" s="130">
        <v>52.3</v>
      </c>
      <c r="C117" s="75">
        <v>6.0851927E-2</v>
      </c>
      <c r="D117" s="24">
        <v>48.2</v>
      </c>
      <c r="E117" s="25">
        <f t="shared" si="58"/>
        <v>-7.8393881453154776E-2</v>
      </c>
      <c r="F117" s="100">
        <f>IF(ISNUMBER(D117), $B118 * E117, "")</f>
        <v>-11759.082217973217</v>
      </c>
      <c r="G117" s="98">
        <v>52.1</v>
      </c>
      <c r="H117" s="25">
        <f t="shared" si="59"/>
        <v>-3.8240917782025956E-3</v>
      </c>
      <c r="I117" s="99">
        <f>IF(ISNUMBER(G117), $B118 * H117, "")</f>
        <v>-573.61376673038933</v>
      </c>
      <c r="J117" s="24">
        <v>51.8</v>
      </c>
      <c r="K117" s="25">
        <f t="shared" si="60"/>
        <v>-9.5602294455066923E-3</v>
      </c>
      <c r="L117" s="100">
        <f>IF(ISNUMBER(J117), $B118 * K117, "")</f>
        <v>-1434.0344168260037</v>
      </c>
      <c r="M117" s="98">
        <v>52.3</v>
      </c>
      <c r="N117" s="25">
        <f t="shared" si="61"/>
        <v>0</v>
      </c>
      <c r="O117" s="100">
        <f>IF(ISNUMBER(M117), $B118 * N117, "")</f>
        <v>0</v>
      </c>
      <c r="Q117" s="300"/>
      <c r="R117" s="301"/>
      <c r="S117" s="302"/>
    </row>
    <row r="118" spans="1:19" ht="17.25" thickBot="1">
      <c r="A118" s="131" t="s">
        <v>301</v>
      </c>
      <c r="B118" s="308">
        <f>$B$37</f>
        <v>150000</v>
      </c>
      <c r="C118" s="309"/>
      <c r="D118" s="26" t="s">
        <v>302</v>
      </c>
      <c r="E118" s="27">
        <f>IF(COUNT(E98:E117), SUM(E98:E117) / COUNT(E98:E117), 0)</f>
        <v>4.6464849728928163E-2</v>
      </c>
      <c r="F118" s="28">
        <f>SUM(F98:F117)</f>
        <v>139394.54918678451</v>
      </c>
      <c r="G118" s="26" t="s">
        <v>302</v>
      </c>
      <c r="H118" s="27">
        <f>IF(COUNT(H98:H117), SUM(H98:H117) / COUNT(H98:H117), 0)</f>
        <v>8.3231970016106507E-2</v>
      </c>
      <c r="I118" s="28">
        <f>SUM(I98:I117)</f>
        <v>249695.91004831955</v>
      </c>
      <c r="J118" s="26" t="s">
        <v>302</v>
      </c>
      <c r="K118" s="27">
        <f>IF(COUNT(K98:K117), SUM(K98:K117) / COUNT(K98:K117), 0)</f>
        <v>0.10149469894190226</v>
      </c>
      <c r="L118" s="28">
        <f>SUM(L98:L117)</f>
        <v>304484.09682570671</v>
      </c>
      <c r="M118" s="26" t="s">
        <v>302</v>
      </c>
      <c r="N118" s="27">
        <f>IF(COUNT(N98:N117), SUM(N98:N117) / COUNT(N98:N117), 0)</f>
        <v>9.7218014852521087E-2</v>
      </c>
      <c r="O118" s="28">
        <f>SUM(O98:O117)</f>
        <v>291654.0445575632</v>
      </c>
      <c r="Q118" s="303"/>
      <c r="R118" s="304"/>
      <c r="S118" s="305"/>
    </row>
    <row r="120" spans="1:19" ht="17.25" thickBot="1"/>
    <row r="121" spans="1:19" ht="17.25" thickBot="1">
      <c r="A121" s="249" t="s">
        <v>288</v>
      </c>
      <c r="B121" s="250"/>
      <c r="C121" s="250"/>
      <c r="D121" s="250"/>
      <c r="E121" s="250"/>
      <c r="F121" s="250"/>
      <c r="G121" s="250"/>
      <c r="H121" s="250"/>
      <c r="I121" s="250"/>
      <c r="J121" s="250"/>
      <c r="K121" s="250"/>
      <c r="L121" s="250"/>
      <c r="M121" s="250"/>
      <c r="N121" s="250"/>
      <c r="O121" s="251"/>
      <c r="Q121" s="270"/>
      <c r="R121" s="270"/>
      <c r="S121" s="270"/>
    </row>
    <row r="122" spans="1:19" ht="17.25" thickBot="1">
      <c r="A122" s="163" t="s">
        <v>298</v>
      </c>
      <c r="B122" s="249" t="s">
        <v>49</v>
      </c>
      <c r="C122" s="251"/>
      <c r="D122" s="249" t="s">
        <v>58</v>
      </c>
      <c r="E122" s="250"/>
      <c r="F122" s="251"/>
      <c r="G122" s="276">
        <f>_xlfn.IFNA(VLOOKUP(B122, 현재가테이블!$B$2:$D$200, 2, FALSE), "-")</f>
        <v>60874000</v>
      </c>
      <c r="H122" s="277"/>
      <c r="I122" s="278"/>
      <c r="J122" s="249" t="s">
        <v>59</v>
      </c>
      <c r="K122" s="250"/>
      <c r="L122" s="251"/>
      <c r="M122" s="279">
        <f>_xlfn.IFNA(VLOOKUP(B122, 현재가테이블!$B$2:$D$200, 3, FALSE), "-")</f>
        <v>-1.4936000099999999E-2</v>
      </c>
      <c r="N122" s="280"/>
      <c r="O122" s="281"/>
      <c r="Q122" s="270"/>
      <c r="R122" s="270"/>
      <c r="S122" s="270"/>
    </row>
    <row r="123" spans="1:19" ht="17.25" thickBot="1">
      <c r="A123" s="310" t="s">
        <v>55</v>
      </c>
      <c r="B123" s="312" t="str">
        <f>TEXT($G$1, "[$-ko-KR]yyyy-mm-dd(ddd) ") &amp; "오전 00:00"</f>
        <v>2021-05-07(금) 오전 00:00</v>
      </c>
      <c r="C123" s="313"/>
      <c r="D123" s="272" t="str">
        <f>TEXT($G$1, "[$-ko-KR]yyyy-mm-dd(ddd) ") &amp; "오후 14:00"</f>
        <v>2021-05-07(금) 오후 14:00</v>
      </c>
      <c r="E123" s="273"/>
      <c r="F123" s="274"/>
      <c r="G123" s="272" t="str">
        <f>TEXT($G$1, "[$-ko-KR]yyyy-mm-dd(ddd) ") &amp; "오후 19:00"</f>
        <v>2021-05-07(금) 오후 19:00</v>
      </c>
      <c r="H123" s="273"/>
      <c r="I123" s="274"/>
      <c r="J123" s="272" t="str">
        <f>TEXT($G$1, "[$-ko-KR]yyyy-mm-dd(ddd) ") &amp; "오후 21:00"</f>
        <v>2021-05-07(금) 오후 21:00</v>
      </c>
      <c r="K123" s="273"/>
      <c r="L123" s="274"/>
      <c r="M123" s="272" t="str">
        <f>TEXT($G$1+1, "[$-ko-KR]yyyy-mm-dd(ddd) ") &amp; "오전 00:00"</f>
        <v>2021-05-08(토) 오전 00:00</v>
      </c>
      <c r="N123" s="273"/>
      <c r="O123" s="274"/>
      <c r="Q123" s="270"/>
      <c r="R123" s="270"/>
      <c r="S123" s="270"/>
    </row>
    <row r="124" spans="1:19" ht="17.25" thickBot="1">
      <c r="A124" s="311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4" t="s">
        <v>58</v>
      </c>
      <c r="H124" s="165" t="s">
        <v>299</v>
      </c>
      <c r="I124" s="166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75"/>
      <c r="R124" s="275"/>
      <c r="S124" s="275"/>
    </row>
    <row r="125" spans="1:19" ht="17.25" thickBot="1">
      <c r="A125" s="122" t="s">
        <v>100</v>
      </c>
      <c r="B125" s="123">
        <v>9.58</v>
      </c>
      <c r="C125" s="72">
        <v>0.1062355658</v>
      </c>
      <c r="D125" s="13">
        <v>10.3</v>
      </c>
      <c r="E125" s="14">
        <f>IF(ISNUMBER(D125), (D125 - $B125) / $B125, "")</f>
        <v>7.5156576200417602E-2</v>
      </c>
      <c r="F125" s="16">
        <f>IF(ISNUMBER(D125), $B145 * E125, "")</f>
        <v>11273.48643006264</v>
      </c>
      <c r="G125" s="29">
        <v>10.4</v>
      </c>
      <c r="H125" s="14">
        <f>IF(ISNUMBER(G125), (G125 - $B125) / $B125, "")</f>
        <v>8.5594989561586662E-2</v>
      </c>
      <c r="I125" s="96">
        <f>IF(ISNUMBER(G125), $B145 * H125, "")</f>
        <v>12839.248434237999</v>
      </c>
      <c r="J125" s="13">
        <v>10.1</v>
      </c>
      <c r="K125" s="14">
        <f>IF(ISNUMBER(J125), (J125 - $B125) / $B125, "")</f>
        <v>5.4279749478079287E-2</v>
      </c>
      <c r="L125" s="16">
        <f>IF(ISNUMBER(J125), $B145 * K125, "")</f>
        <v>8141.9624217118926</v>
      </c>
      <c r="M125" s="29">
        <v>9.85</v>
      </c>
      <c r="N125" s="14">
        <f>IF(ISNUMBER(M125), (M125 - $B125) / $B125, "")</f>
        <v>2.8183716075156531E-2</v>
      </c>
      <c r="O125" s="16">
        <f>IF(ISNUMBER(M125), $B145 * N125, "")</f>
        <v>4227.5574112734794</v>
      </c>
      <c r="Q125" s="270"/>
      <c r="R125" s="270"/>
      <c r="S125" s="270"/>
    </row>
    <row r="126" spans="1:19" ht="17.25" thickBot="1">
      <c r="A126" s="124" t="s">
        <v>72</v>
      </c>
      <c r="B126" s="125">
        <v>39</v>
      </c>
      <c r="C126" s="73">
        <v>7.4380165299999995E-2</v>
      </c>
      <c r="D126" s="15">
        <v>36.5</v>
      </c>
      <c r="E126" s="32">
        <f t="shared" ref="E126:E129" si="62">IF(ISNUMBER(D126), (D126 - $B126) / $B126, "")</f>
        <v>-6.4102564102564097E-2</v>
      </c>
      <c r="F126" s="18">
        <f>IF(ISNUMBER(D126), $B145 * E126, "")</f>
        <v>-9615.3846153846152</v>
      </c>
      <c r="G126" s="31">
        <v>36.799999999999997</v>
      </c>
      <c r="H126" s="32">
        <f t="shared" ref="H126:H129" si="63">IF(ISNUMBER(G126), (G126 - $B126) / $B126, "")</f>
        <v>-5.641025641025648E-2</v>
      </c>
      <c r="I126" s="97">
        <f>IF(ISNUMBER(G126), $B145 * H126, "")</f>
        <v>-8461.5384615384719</v>
      </c>
      <c r="J126" s="15">
        <v>38.1</v>
      </c>
      <c r="K126" s="32">
        <f t="shared" ref="K126:K129" si="64">IF(ISNUMBER(J126), (J126 - $B126) / $B126, "")</f>
        <v>-2.307692307692304E-2</v>
      </c>
      <c r="L126" s="18">
        <f>IF(ISNUMBER(J126), $B145 * K126, "")</f>
        <v>-3461.538461538456</v>
      </c>
      <c r="M126" s="31">
        <v>39.1</v>
      </c>
      <c r="N126" s="32">
        <f t="shared" ref="N126:N129" si="65">IF(ISNUMBER(M126), (M126 - $B126) / $B126, "")</f>
        <v>2.5641025641026005E-3</v>
      </c>
      <c r="O126" s="18">
        <f>IF(ISNUMBER(M126), $B145 * N126, "")</f>
        <v>384.6153846153901</v>
      </c>
      <c r="Q126" s="270"/>
      <c r="R126" s="270"/>
      <c r="S126" s="270"/>
    </row>
    <row r="127" spans="1:19" ht="17.25" thickBot="1">
      <c r="A127" s="124" t="s">
        <v>152</v>
      </c>
      <c r="B127" s="125">
        <v>52.3</v>
      </c>
      <c r="C127" s="73">
        <v>6.0851927E-2</v>
      </c>
      <c r="D127" s="15">
        <v>48.2</v>
      </c>
      <c r="E127" s="32">
        <f t="shared" si="62"/>
        <v>-7.8393881453154776E-2</v>
      </c>
      <c r="F127" s="18">
        <f>IF(ISNUMBER(D127), $B145 * E127, "")</f>
        <v>-11759.082217973217</v>
      </c>
      <c r="G127" s="31">
        <v>52.1</v>
      </c>
      <c r="H127" s="32">
        <f t="shared" si="63"/>
        <v>-3.8240917782025956E-3</v>
      </c>
      <c r="I127" s="97">
        <f>IF(ISNUMBER(G127), $B145 * H127, "")</f>
        <v>-573.61376673038933</v>
      </c>
      <c r="J127" s="15">
        <v>51.8</v>
      </c>
      <c r="K127" s="32">
        <f t="shared" si="64"/>
        <v>-9.5602294455066923E-3</v>
      </c>
      <c r="L127" s="18">
        <f>IF(ISNUMBER(J127), $B145 * K127, "")</f>
        <v>-1434.0344168260037</v>
      </c>
      <c r="M127" s="31">
        <v>52.3</v>
      </c>
      <c r="N127" s="32">
        <f t="shared" si="65"/>
        <v>0</v>
      </c>
      <c r="O127" s="18">
        <f>IF(ISNUMBER(M127), $B145 * N127, "")</f>
        <v>0</v>
      </c>
      <c r="Q127" s="275"/>
      <c r="R127" s="275"/>
      <c r="S127" s="275"/>
    </row>
    <row r="128" spans="1:19" ht="17.25" thickBot="1">
      <c r="A128" s="124" t="s">
        <v>65</v>
      </c>
      <c r="B128" s="125">
        <v>76.400000000000006</v>
      </c>
      <c r="C128" s="73">
        <v>3.3829499300000003E-2</v>
      </c>
      <c r="D128" s="15">
        <v>80.099999999999994</v>
      </c>
      <c r="E128" s="32">
        <f t="shared" si="62"/>
        <v>4.8429319371727599E-2</v>
      </c>
      <c r="F128" s="18">
        <f>IF(ISNUMBER(D128), $B145 * E128, "")</f>
        <v>7264.3979057591396</v>
      </c>
      <c r="G128" s="31">
        <v>81</v>
      </c>
      <c r="H128" s="32">
        <f t="shared" si="63"/>
        <v>6.0209424083769551E-2</v>
      </c>
      <c r="I128" s="97">
        <f>IF(ISNUMBER(G128), $B145 * H128, "")</f>
        <v>9031.4136125654331</v>
      </c>
      <c r="J128" s="15">
        <v>83.6</v>
      </c>
      <c r="K128" s="32">
        <f t="shared" si="64"/>
        <v>9.4240837696334928E-2</v>
      </c>
      <c r="L128" s="18">
        <f>IF(ISNUMBER(J128), $B145 * K128, "")</f>
        <v>14136.125654450239</v>
      </c>
      <c r="M128" s="31">
        <v>84.8</v>
      </c>
      <c r="N128" s="32">
        <f t="shared" si="65"/>
        <v>0.10994764397905747</v>
      </c>
      <c r="O128" s="18">
        <f>IF(ISNUMBER(M128), $B145 * N128, "")</f>
        <v>16492.14659685862</v>
      </c>
      <c r="Q128" s="275"/>
      <c r="R128" s="275"/>
      <c r="S128" s="275"/>
    </row>
    <row r="129" spans="1:19" ht="17.25" thickBot="1">
      <c r="A129" s="126" t="s">
        <v>222</v>
      </c>
      <c r="B129" s="127">
        <v>18.8</v>
      </c>
      <c r="C129" s="74">
        <v>-1.05263158E-2</v>
      </c>
      <c r="D129" s="20">
        <v>17.600000000000001</v>
      </c>
      <c r="E129" s="21">
        <f t="shared" si="62"/>
        <v>-6.3829787234042507E-2</v>
      </c>
      <c r="F129" s="22">
        <f>IF(ISNUMBER(D129), $B145 * E129, "")</f>
        <v>-9574.4680851063767</v>
      </c>
      <c r="G129" s="30">
        <v>18.600000000000001</v>
      </c>
      <c r="H129" s="21">
        <f t="shared" si="63"/>
        <v>-1.0638297872340387E-2</v>
      </c>
      <c r="I129" s="101">
        <f>IF(ISNUMBER(G129), $B145 * H129, "")</f>
        <v>-1595.7446808510581</v>
      </c>
      <c r="J129" s="20">
        <v>18.600000000000001</v>
      </c>
      <c r="K129" s="21">
        <f t="shared" si="64"/>
        <v>-1.0638297872340387E-2</v>
      </c>
      <c r="L129" s="22">
        <f>IF(ISNUMBER(J129), $B145 * K129, "")</f>
        <v>-1595.7446808510581</v>
      </c>
      <c r="M129" s="30">
        <v>18.899999999999999</v>
      </c>
      <c r="N129" s="21">
        <f t="shared" si="65"/>
        <v>5.319148936170099E-3</v>
      </c>
      <c r="O129" s="22">
        <f>IF(ISNUMBER(M129), $B145 * N129, "")</f>
        <v>797.87234042551484</v>
      </c>
      <c r="Q129" s="275"/>
      <c r="R129" s="275"/>
      <c r="S129" s="275"/>
    </row>
    <row r="130" spans="1:19" ht="17.25" thickBot="1">
      <c r="A130" s="124" t="s">
        <v>126</v>
      </c>
      <c r="B130" s="128">
        <v>63.3</v>
      </c>
      <c r="C130" s="76">
        <v>-1.0937499999999999E-2</v>
      </c>
      <c r="D130" s="102">
        <v>59.1</v>
      </c>
      <c r="E130" s="103">
        <f>IF(ISNUMBER(D130), (D130 - $B130) / $B130, "")</f>
        <v>-6.6350710900473869E-2</v>
      </c>
      <c r="F130" s="104">
        <f>IF(ISNUMBER(D130), $B145 * E130, "")</f>
        <v>-9952.6066350710807</v>
      </c>
      <c r="G130" s="105">
        <v>61</v>
      </c>
      <c r="H130" s="103">
        <f>IF(ISNUMBER(G130), (G130 - $B130) / $B130, "")</f>
        <v>-3.6334913112164254E-2</v>
      </c>
      <c r="I130" s="106">
        <f>IF(ISNUMBER(G130), $B145 * H130, "")</f>
        <v>-5450.2369668246383</v>
      </c>
      <c r="J130" s="102">
        <v>61.8</v>
      </c>
      <c r="K130" s="103">
        <f>IF(ISNUMBER(J130), (J130 - $B130) / $B130, "")</f>
        <v>-2.3696682464454978E-2</v>
      </c>
      <c r="L130" s="104">
        <f>IF(ISNUMBER(J130), $B145 * K130, "")</f>
        <v>-3554.5023696682465</v>
      </c>
      <c r="M130" s="105">
        <v>61</v>
      </c>
      <c r="N130" s="103">
        <f>IF(ISNUMBER(M130), (M130 - $B130) / $B130, "")</f>
        <v>-3.6334913112164254E-2</v>
      </c>
      <c r="O130" s="104">
        <f>IF(ISNUMBER(M130), $B145 * N130, "")</f>
        <v>-5450.2369668246383</v>
      </c>
      <c r="Q130" s="275"/>
      <c r="R130" s="275"/>
      <c r="S130" s="275"/>
    </row>
    <row r="131" spans="1:19" ht="17.25" thickBot="1">
      <c r="A131" s="124" t="s">
        <v>196</v>
      </c>
      <c r="B131" s="125">
        <v>20.5</v>
      </c>
      <c r="C131" s="73">
        <v>-1.44230769E-2</v>
      </c>
      <c r="D131" s="15">
        <v>19.399999999999999</v>
      </c>
      <c r="E131" s="32">
        <f t="shared" ref="E131:E134" si="66">IF(ISNUMBER(D131), (D131 - $B131) / $B131, "")</f>
        <v>-5.3658536585365922E-2</v>
      </c>
      <c r="F131" s="18">
        <f>IF(ISNUMBER(D131), $B145 * E131, "")</f>
        <v>-8048.7804878048883</v>
      </c>
      <c r="G131" s="31">
        <v>19.5</v>
      </c>
      <c r="H131" s="32">
        <f t="shared" ref="H131:H134" si="67">IF(ISNUMBER(G131), (G131 - $B131) / $B131, "")</f>
        <v>-4.878048780487805E-2</v>
      </c>
      <c r="I131" s="97">
        <f>IF(ISNUMBER(G131), $B145 * H131, "")</f>
        <v>-7317.0731707317073</v>
      </c>
      <c r="J131" s="15">
        <v>20.5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20.6</v>
      </c>
      <c r="N131" s="32">
        <f t="shared" ref="N131:N134" si="69">IF(ISNUMBER(M131), (M131 - $B131) / $B131, "")</f>
        <v>4.8780487804878743E-3</v>
      </c>
      <c r="O131" s="18">
        <f>IF(ISNUMBER(M131), $B145 * N131, "")</f>
        <v>731.70731707318112</v>
      </c>
      <c r="Q131" s="275"/>
      <c r="R131" s="275"/>
      <c r="S131" s="275"/>
    </row>
    <row r="132" spans="1:19" ht="17.25" thickBot="1">
      <c r="A132" s="124" t="s">
        <v>186</v>
      </c>
      <c r="B132" s="125">
        <v>25.3</v>
      </c>
      <c r="C132" s="73">
        <v>-3.4351145E-2</v>
      </c>
      <c r="D132" s="15">
        <v>23.9</v>
      </c>
      <c r="E132" s="32">
        <f t="shared" si="66"/>
        <v>-5.5335968379446723E-2</v>
      </c>
      <c r="F132" s="18">
        <f>IF(ISNUMBER(D132), $B145 * E132, "")</f>
        <v>-8300.3952569170087</v>
      </c>
      <c r="G132" s="31">
        <v>24.1</v>
      </c>
      <c r="H132" s="32">
        <f t="shared" si="67"/>
        <v>-4.7430830039525661E-2</v>
      </c>
      <c r="I132" s="97">
        <f>IF(ISNUMBER(G132), $B145 * H132, "")</f>
        <v>-7114.6245059288494</v>
      </c>
      <c r="J132" s="15">
        <v>25.4</v>
      </c>
      <c r="K132" s="32">
        <f t="shared" si="68"/>
        <v>3.9525691699603899E-3</v>
      </c>
      <c r="L132" s="18">
        <f>IF(ISNUMBER(J132), $B145 * K132, "")</f>
        <v>592.88537549405851</v>
      </c>
      <c r="M132" s="31">
        <v>25.3</v>
      </c>
      <c r="N132" s="32">
        <f t="shared" si="69"/>
        <v>0</v>
      </c>
      <c r="O132" s="18">
        <f>IF(ISNUMBER(M132), $B145 * N132, "")</f>
        <v>0</v>
      </c>
      <c r="Q132" s="275"/>
      <c r="R132" s="275"/>
      <c r="S132" s="275"/>
    </row>
    <row r="133" spans="1:19" ht="17.25" thickBot="1">
      <c r="A133" s="124" t="s">
        <v>236</v>
      </c>
      <c r="B133" s="125">
        <v>68.3</v>
      </c>
      <c r="C133" s="73">
        <v>-3.5310734500000003E-2</v>
      </c>
      <c r="D133" s="15">
        <v>62.7</v>
      </c>
      <c r="E133" s="32">
        <f t="shared" si="66"/>
        <v>-8.199121522693989E-2</v>
      </c>
      <c r="F133" s="18">
        <f>IF(ISNUMBER(D133), $B145 * E133, "")</f>
        <v>-12298.682284040984</v>
      </c>
      <c r="G133" s="31">
        <v>65.2</v>
      </c>
      <c r="H133" s="32">
        <f t="shared" si="67"/>
        <v>-4.5387994143484545E-2</v>
      </c>
      <c r="I133" s="97">
        <f>IF(ISNUMBER(G133), $B145 * H133, "")</f>
        <v>-6808.1991215226817</v>
      </c>
      <c r="J133" s="15">
        <v>68.3</v>
      </c>
      <c r="K133" s="32">
        <f t="shared" si="68"/>
        <v>0</v>
      </c>
      <c r="L133" s="18">
        <f>IF(ISNUMBER(J133), $B145 * K133, "")</f>
        <v>0</v>
      </c>
      <c r="M133" s="31">
        <v>69.3</v>
      </c>
      <c r="N133" s="32">
        <f t="shared" si="69"/>
        <v>1.4641288433382138E-2</v>
      </c>
      <c r="O133" s="18">
        <f>IF(ISNUMBER(M133), $B145 * N133, "")</f>
        <v>2196.1932650073209</v>
      </c>
      <c r="Q133" s="33"/>
      <c r="R133" s="33"/>
    </row>
    <row r="134" spans="1:19" ht="17.25" thickBot="1">
      <c r="A134" s="129" t="s">
        <v>198</v>
      </c>
      <c r="B134" s="130">
        <v>28.3</v>
      </c>
      <c r="C134" s="75">
        <v>-3.7414966000000001E-2</v>
      </c>
      <c r="D134" s="24">
        <v>25.9</v>
      </c>
      <c r="E134" s="25">
        <f t="shared" si="66"/>
        <v>-8.4805653710247425E-2</v>
      </c>
      <c r="F134" s="100">
        <f>IF(ISNUMBER(D134), $B145 * E134, "")</f>
        <v>-12720.848056537114</v>
      </c>
      <c r="G134" s="98">
        <v>26.7</v>
      </c>
      <c r="H134" s="25">
        <f t="shared" si="67"/>
        <v>-5.6537102473498281E-2</v>
      </c>
      <c r="I134" s="99">
        <f>IF(ISNUMBER(G134), $B145 * H134, "")</f>
        <v>-8480.5653710247425</v>
      </c>
      <c r="J134" s="24">
        <v>27.8</v>
      </c>
      <c r="K134" s="25">
        <f t="shared" si="68"/>
        <v>-1.7667844522968199E-2</v>
      </c>
      <c r="L134" s="100">
        <f>IF(ISNUMBER(J134), $B145 * K134, "")</f>
        <v>-2650.1766784452298</v>
      </c>
      <c r="M134" s="98">
        <v>28.1</v>
      </c>
      <c r="N134" s="25">
        <f t="shared" si="69"/>
        <v>-7.0671378091872539E-3</v>
      </c>
      <c r="O134" s="100">
        <f>IF(ISNUMBER(M134), $B145 * N134, "")</f>
        <v>-1060.070671378088</v>
      </c>
      <c r="Q134" s="284"/>
      <c r="R134" s="285"/>
      <c r="S134" s="286"/>
    </row>
    <row r="135" spans="1:19">
      <c r="A135" s="122" t="s">
        <v>172</v>
      </c>
      <c r="B135" s="123">
        <v>25.2</v>
      </c>
      <c r="C135" s="72">
        <v>-3.8167938899999997E-2</v>
      </c>
      <c r="D135" s="13">
        <v>23</v>
      </c>
      <c r="E135" s="14">
        <f>IF(ISNUMBER(D135), (D135 - $B135) / $B135, "")</f>
        <v>-8.7301587301587269E-2</v>
      </c>
      <c r="F135" s="16">
        <f>IF(ISNUMBER(D135), $B145 * E135, "")</f>
        <v>-13095.23809523809</v>
      </c>
      <c r="G135" s="29">
        <v>23.5</v>
      </c>
      <c r="H135" s="14">
        <f>IF(ISNUMBER(G135), (G135 - $B135) / $B135, "")</f>
        <v>-6.7460317460317429E-2</v>
      </c>
      <c r="I135" s="96">
        <f>IF(ISNUMBER(G135), $B145 * H135, "")</f>
        <v>-10119.047619047615</v>
      </c>
      <c r="J135" s="13">
        <v>24.3</v>
      </c>
      <c r="K135" s="14">
        <f>IF(ISNUMBER(J135), (J135 - $B135) / $B135, "")</f>
        <v>-3.5714285714285657E-2</v>
      </c>
      <c r="L135" s="16">
        <f>IF(ISNUMBER(J135), $B145 * K135, "")</f>
        <v>-5357.1428571428487</v>
      </c>
      <c r="M135" s="29">
        <v>25.9</v>
      </c>
      <c r="N135" s="14">
        <f>IF(ISNUMBER(M135), (M135 - $B135) / $B135, "")</f>
        <v>2.7777777777777752E-2</v>
      </c>
      <c r="O135" s="16">
        <f>IF(ISNUMBER(M135), $B145 * N135, "")</f>
        <v>4166.6666666666624</v>
      </c>
      <c r="Q135" s="287"/>
      <c r="R135" s="288"/>
      <c r="S135" s="289"/>
    </row>
    <row r="136" spans="1:19" ht="17.25" thickBot="1">
      <c r="A136" s="124" t="s">
        <v>214</v>
      </c>
      <c r="B136" s="125">
        <v>22.2</v>
      </c>
      <c r="C136" s="73">
        <v>-3.8961039000000003E-2</v>
      </c>
      <c r="D136" s="15">
        <v>20.3</v>
      </c>
      <c r="E136" s="32">
        <f t="shared" ref="E136:E139" si="70">IF(ISNUMBER(D136), (D136 - $B136) / $B136, "")</f>
        <v>-8.558558558558553E-2</v>
      </c>
      <c r="F136" s="18">
        <f>IF(ISNUMBER(D136), $B145 * E136, "")</f>
        <v>-12837.837837837829</v>
      </c>
      <c r="G136" s="31">
        <v>20.6</v>
      </c>
      <c r="H136" s="32">
        <f t="shared" ref="H136:H139" si="71">IF(ISNUMBER(G136), (G136 - $B136) / $B136, "")</f>
        <v>-7.2072072072071974E-2</v>
      </c>
      <c r="I136" s="97">
        <f>IF(ISNUMBER(G136), $B145 * H136, "")</f>
        <v>-10810.810810810795</v>
      </c>
      <c r="J136" s="15">
        <v>21.7</v>
      </c>
      <c r="K136" s="32">
        <f t="shared" ref="K136:K139" si="72">IF(ISNUMBER(J136), (J136 - $B136) / $B136, "")</f>
        <v>-2.2522522522522525E-2</v>
      </c>
      <c r="L136" s="18">
        <f>IF(ISNUMBER(J136), $B145 * K136, "")</f>
        <v>-3378.3783783783788</v>
      </c>
      <c r="M136" s="31">
        <v>22.1</v>
      </c>
      <c r="N136" s="32">
        <f t="shared" ref="N136:N139" si="73">IF(ISNUMBER(M136), (M136 - $B136) / $B136, "")</f>
        <v>-4.5045045045044091E-3</v>
      </c>
      <c r="O136" s="18">
        <f>IF(ISNUMBER(M136), $B145 * N136, "")</f>
        <v>-675.67567567566141</v>
      </c>
      <c r="Q136" s="290"/>
      <c r="R136" s="291"/>
      <c r="S136" s="292"/>
    </row>
    <row r="137" spans="1:19" ht="17.25" thickBot="1">
      <c r="A137" s="124" t="s">
        <v>218</v>
      </c>
      <c r="B137" s="125">
        <v>28.5</v>
      </c>
      <c r="C137" s="73">
        <v>-4.0404040400000001E-2</v>
      </c>
      <c r="D137" s="15">
        <v>25.7</v>
      </c>
      <c r="E137" s="32">
        <f t="shared" si="70"/>
        <v>-9.8245614035087747E-2</v>
      </c>
      <c r="F137" s="18">
        <f>IF(ISNUMBER(D137), $B145 * E137, "")</f>
        <v>-14736.842105263162</v>
      </c>
      <c r="G137" s="31">
        <v>26.5</v>
      </c>
      <c r="H137" s="32">
        <f t="shared" si="71"/>
        <v>-7.0175438596491224E-2</v>
      </c>
      <c r="I137" s="97">
        <f>IF(ISNUMBER(G137), $B145 * H137, "")</f>
        <v>-10526.315789473683</v>
      </c>
      <c r="J137" s="15">
        <v>28.2</v>
      </c>
      <c r="K137" s="32">
        <f t="shared" si="72"/>
        <v>-1.052631578947371E-2</v>
      </c>
      <c r="L137" s="18">
        <f>IF(ISNUMBER(J137), $B145 * K137, "")</f>
        <v>-1578.9473684210566</v>
      </c>
      <c r="M137" s="31">
        <v>29.1</v>
      </c>
      <c r="N137" s="32">
        <f t="shared" si="73"/>
        <v>2.105263157894742E-2</v>
      </c>
      <c r="O137" s="18">
        <f>IF(ISNUMBER(M137), $B145 * N137, "")</f>
        <v>3157.8947368421132</v>
      </c>
      <c r="Q137" s="275"/>
      <c r="R137" s="275"/>
      <c r="S137" s="275"/>
    </row>
    <row r="138" spans="1:19" ht="17.25" thickBot="1">
      <c r="A138" s="124" t="s">
        <v>154</v>
      </c>
      <c r="B138" s="125">
        <v>21.1</v>
      </c>
      <c r="C138" s="73">
        <v>-4.09090909E-2</v>
      </c>
      <c r="D138" s="15">
        <v>19.399999999999999</v>
      </c>
      <c r="E138" s="32">
        <f t="shared" si="70"/>
        <v>-8.0568720379147044E-2</v>
      </c>
      <c r="F138" s="18">
        <f>IF(ISNUMBER(D138), $B145 * E138, "")</f>
        <v>-12085.308056872056</v>
      </c>
      <c r="G138" s="31">
        <v>19.899999999999999</v>
      </c>
      <c r="H138" s="32">
        <f t="shared" si="71"/>
        <v>-5.6872037914692072E-2</v>
      </c>
      <c r="I138" s="97">
        <f>IF(ISNUMBER(G138), $B145 * H138, "")</f>
        <v>-8530.8056872038105</v>
      </c>
      <c r="J138" s="15">
        <v>20.7</v>
      </c>
      <c r="K138" s="32">
        <f t="shared" si="72"/>
        <v>-1.895734597156408E-2</v>
      </c>
      <c r="L138" s="18">
        <f>IF(ISNUMBER(J138), $B145 * K138, "")</f>
        <v>-2843.6018957346118</v>
      </c>
      <c r="M138" s="31">
        <v>20.8</v>
      </c>
      <c r="N138" s="32">
        <f t="shared" si="73"/>
        <v>-1.4218009478673018E-2</v>
      </c>
      <c r="O138" s="18">
        <f>IF(ISNUMBER(M138), $B145 * N138, "")</f>
        <v>-2132.7014218009526</v>
      </c>
      <c r="Q138" s="270"/>
      <c r="R138" s="270"/>
      <c r="S138" s="270"/>
    </row>
    <row r="139" spans="1:19" ht="17.25" thickBot="1">
      <c r="A139" s="126" t="s">
        <v>228</v>
      </c>
      <c r="B139" s="127">
        <v>18.399999999999999</v>
      </c>
      <c r="C139" s="74">
        <v>-4.16666667E-2</v>
      </c>
      <c r="D139" s="20">
        <v>17.399999999999999</v>
      </c>
      <c r="E139" s="21">
        <f t="shared" si="70"/>
        <v>-5.4347826086956527E-2</v>
      </c>
      <c r="F139" s="22">
        <f>IF(ISNUMBER(D139), $B145 * E139, "")</f>
        <v>-8152.1739130434789</v>
      </c>
      <c r="G139" s="30">
        <v>17.600000000000001</v>
      </c>
      <c r="H139" s="21">
        <f t="shared" si="71"/>
        <v>-4.3478260869565064E-2</v>
      </c>
      <c r="I139" s="101">
        <f>IF(ISNUMBER(G139), $B145 * H139, "")</f>
        <v>-6521.7391304347593</v>
      </c>
      <c r="J139" s="20">
        <v>18.3</v>
      </c>
      <c r="K139" s="21">
        <f t="shared" si="72"/>
        <v>-5.4347826086955367E-3</v>
      </c>
      <c r="L139" s="22">
        <f>IF(ISNUMBER(J139), $B145 * K139, "")</f>
        <v>-815.21739130433048</v>
      </c>
      <c r="M139" s="30">
        <v>18.3</v>
      </c>
      <c r="N139" s="21">
        <f t="shared" si="73"/>
        <v>-5.4347826086955367E-3</v>
      </c>
      <c r="O139" s="22">
        <f>IF(ISNUMBER(M139), $B145 * N139, "")</f>
        <v>-815.21739130433048</v>
      </c>
      <c r="Q139" s="270"/>
      <c r="R139" s="270"/>
      <c r="S139" s="270"/>
    </row>
    <row r="140" spans="1:19" ht="17.25" thickBot="1">
      <c r="A140" s="124" t="s">
        <v>268</v>
      </c>
      <c r="B140" s="128">
        <v>96.1</v>
      </c>
      <c r="C140" s="76">
        <v>-4.8514851499999997E-2</v>
      </c>
      <c r="D140" s="102">
        <v>89.1</v>
      </c>
      <c r="E140" s="103">
        <f>IF(ISNUMBER(D140), (D140 - $B140) / $B140, "")</f>
        <v>-7.2840790842872011E-2</v>
      </c>
      <c r="F140" s="104">
        <f>IF(ISNUMBER(D140), $B145 * E140, "")</f>
        <v>-10926.118626430802</v>
      </c>
      <c r="G140" s="105">
        <v>89.9</v>
      </c>
      <c r="H140" s="103">
        <f>IF(ISNUMBER(G140), (G140 - $B140) / $B140, "")</f>
        <v>-6.4516129032257952E-2</v>
      </c>
      <c r="I140" s="106">
        <f>IF(ISNUMBER(G140), $B145 * H140, "")</f>
        <v>-9677.419354838692</v>
      </c>
      <c r="J140" s="102">
        <v>93.1</v>
      </c>
      <c r="K140" s="103">
        <f>IF(ISNUMBER(J140), (J140 - $B140) / $B140, "")</f>
        <v>-3.1217481789802291E-2</v>
      </c>
      <c r="L140" s="104">
        <f>IF(ISNUMBER(J140), $B145 * K140, "")</f>
        <v>-4682.6222684703434</v>
      </c>
      <c r="M140" s="105">
        <v>93.4</v>
      </c>
      <c r="N140" s="103">
        <f>IF(ISNUMBER(M140), (M140 - $B140) / $B140, "")</f>
        <v>-2.8095733610821943E-2</v>
      </c>
      <c r="O140" s="104">
        <f>IF(ISNUMBER(M140), $B145 * N140, "")</f>
        <v>-4214.3600416232912</v>
      </c>
      <c r="Q140" s="275"/>
      <c r="R140" s="275"/>
      <c r="S140" s="275"/>
    </row>
    <row r="141" spans="1:19" ht="17.25" thickBot="1">
      <c r="A141" s="124" t="s">
        <v>254</v>
      </c>
      <c r="B141" s="125">
        <v>86</v>
      </c>
      <c r="C141" s="73">
        <v>-4.8672566399999999E-2</v>
      </c>
      <c r="D141" s="15">
        <v>79.7</v>
      </c>
      <c r="E141" s="32">
        <f t="shared" ref="E141:E144" si="74">IF(ISNUMBER(D141), (D141 - $B141) / $B141, "")</f>
        <v>-7.3255813953488333E-2</v>
      </c>
      <c r="F141" s="18">
        <f>IF(ISNUMBER(D141), $B145 * E141, "")</f>
        <v>-10988.37209302325</v>
      </c>
      <c r="G141" s="31">
        <v>80.5</v>
      </c>
      <c r="H141" s="32">
        <f t="shared" ref="H141:H144" si="75">IF(ISNUMBER(G141), (G141 - $B141) / $B141, "")</f>
        <v>-6.3953488372093026E-2</v>
      </c>
      <c r="I141" s="97">
        <f>IF(ISNUMBER(G141), $B145 * H141, "")</f>
        <v>-9593.0232558139542</v>
      </c>
      <c r="J141" s="15">
        <v>83</v>
      </c>
      <c r="K141" s="32">
        <f t="shared" ref="K141:K144" si="76">IF(ISNUMBER(J141), (J141 - $B141) / $B141, "")</f>
        <v>-3.4883720930232558E-2</v>
      </c>
      <c r="L141" s="18">
        <f>IF(ISNUMBER(J141), $B145 * K141, "")</f>
        <v>-5232.5581395348836</v>
      </c>
      <c r="M141" s="31">
        <v>83.8</v>
      </c>
      <c r="N141" s="32">
        <f t="shared" ref="N141:N144" si="77">IF(ISNUMBER(M141), (M141 - $B141) / $B141, "")</f>
        <v>-2.5581395348837244E-2</v>
      </c>
      <c r="O141" s="18">
        <f>IF(ISNUMBER(M141), $B145 * N141, "")</f>
        <v>-3837.2093023255866</v>
      </c>
      <c r="Q141" s="275"/>
      <c r="R141" s="275"/>
      <c r="S141" s="275"/>
    </row>
    <row r="142" spans="1:19" ht="17.25" thickBot="1">
      <c r="A142" s="124" t="s">
        <v>220</v>
      </c>
      <c r="B142" s="125">
        <v>21.2</v>
      </c>
      <c r="C142" s="73">
        <v>-4.9327354300000001E-2</v>
      </c>
      <c r="D142" s="15">
        <v>19.5</v>
      </c>
      <c r="E142" s="32">
        <f t="shared" si="74"/>
        <v>-8.0188679245282987E-2</v>
      </c>
      <c r="F142" s="18">
        <f>IF(ISNUMBER(D142), $B145 * E142, "")</f>
        <v>-12028.301886792447</v>
      </c>
      <c r="G142" s="31">
        <v>19.8</v>
      </c>
      <c r="H142" s="32">
        <f t="shared" si="75"/>
        <v>-6.6037735849056534E-2</v>
      </c>
      <c r="I142" s="97">
        <f>IF(ISNUMBER(G142), $B145 * H142, "")</f>
        <v>-9905.6603773584793</v>
      </c>
      <c r="J142" s="15">
        <v>20.399999999999999</v>
      </c>
      <c r="K142" s="32">
        <f t="shared" si="76"/>
        <v>-3.7735849056603807E-2</v>
      </c>
      <c r="L142" s="18">
        <f>IF(ISNUMBER(J142), $B145 * K142, "")</f>
        <v>-5660.3773584905712</v>
      </c>
      <c r="M142" s="31">
        <v>20.6</v>
      </c>
      <c r="N142" s="32">
        <f t="shared" si="77"/>
        <v>-2.830188679245273E-2</v>
      </c>
      <c r="O142" s="18">
        <f>IF(ISNUMBER(M142), $B145 * N142, "")</f>
        <v>-4245.28301886791</v>
      </c>
      <c r="Q142" s="275"/>
      <c r="R142" s="275"/>
      <c r="S142" s="275"/>
    </row>
    <row r="143" spans="1:19">
      <c r="A143" s="124" t="s">
        <v>266</v>
      </c>
      <c r="B143" s="125">
        <v>97.2</v>
      </c>
      <c r="C143" s="73">
        <v>-5.6310679600000003E-2</v>
      </c>
      <c r="D143" s="15">
        <v>89</v>
      </c>
      <c r="E143" s="32">
        <f t="shared" si="74"/>
        <v>-8.4362139917695506E-2</v>
      </c>
      <c r="F143" s="18">
        <f>IF(ISNUMBER(D143), $B145 * E143, "")</f>
        <v>-12654.320987654326</v>
      </c>
      <c r="G143" s="31">
        <v>90.4</v>
      </c>
      <c r="H143" s="32">
        <f t="shared" si="75"/>
        <v>-6.9958847736625487E-2</v>
      </c>
      <c r="I143" s="97">
        <f>IF(ISNUMBER(G143), $B145 * H143, "")</f>
        <v>-10493.827160493824</v>
      </c>
      <c r="J143" s="15">
        <v>94.3</v>
      </c>
      <c r="K143" s="32">
        <f t="shared" si="76"/>
        <v>-2.9835390946502116E-2</v>
      </c>
      <c r="L143" s="18">
        <f>IF(ISNUMBER(J143), $B145 * K143, "")</f>
        <v>-4475.3086419753172</v>
      </c>
      <c r="M143" s="31">
        <v>94.2</v>
      </c>
      <c r="N143" s="32">
        <f t="shared" si="77"/>
        <v>-3.0864197530864196E-2</v>
      </c>
      <c r="O143" s="18">
        <f>IF(ISNUMBER(M143), $B145 * N143, "")</f>
        <v>-4629.6296296296296</v>
      </c>
      <c r="Q143" s="297"/>
      <c r="R143" s="298"/>
      <c r="S143" s="299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00"/>
      <c r="R144" s="301"/>
      <c r="S144" s="302"/>
    </row>
    <row r="145" spans="1:19" ht="17.25" thickBot="1">
      <c r="A145" s="131" t="s">
        <v>301</v>
      </c>
      <c r="B145" s="308">
        <f>$B$37</f>
        <v>150000</v>
      </c>
      <c r="C145" s="309"/>
      <c r="D145" s="26" t="s">
        <v>302</v>
      </c>
      <c r="E145" s="27">
        <f>IF(COUNT(E125:E144), SUM(E125:E144) / COUNT(E125:E144), 0)</f>
        <v>-6.0083114703568037E-2</v>
      </c>
      <c r="F145" s="28">
        <f>SUM(F125:F144)</f>
        <v>-171236.87690516893</v>
      </c>
      <c r="G145" s="26" t="s">
        <v>302</v>
      </c>
      <c r="H145" s="27">
        <f>IF(COUNT(H125:H144), SUM(H125:H144) / COUNT(H125:H144), 0)</f>
        <v>-3.8634941468008686E-2</v>
      </c>
      <c r="I145" s="28">
        <f>SUM(I125:I144)</f>
        <v>-110109.58318382471</v>
      </c>
      <c r="J145" s="26" t="s">
        <v>302</v>
      </c>
      <c r="K145" s="27">
        <f>IF(COUNT(K125:K144), SUM(K125:K144) / COUNT(K125:K144), 0)</f>
        <v>-8.368132440394787E-3</v>
      </c>
      <c r="L145" s="28">
        <f>SUM(L125:L144)</f>
        <v>-23849.177455125144</v>
      </c>
      <c r="M145" s="26" t="s">
        <v>302</v>
      </c>
      <c r="N145" s="27">
        <f>IF(COUNT(N125:N144), SUM(N125:N144) / COUNT(N125:N144), 0)</f>
        <v>1.7874630173095435E-3</v>
      </c>
      <c r="O145" s="28">
        <f>SUM(O125:O144)</f>
        <v>5094.2695993321886</v>
      </c>
      <c r="Q145" s="303"/>
      <c r="R145" s="304"/>
      <c r="S145" s="305"/>
    </row>
    <row r="147" spans="1:19" ht="17.25" thickBot="1"/>
    <row r="148" spans="1:19" ht="17.25" thickBot="1">
      <c r="A148" s="249" t="s">
        <v>289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1"/>
      <c r="Q148" s="270"/>
      <c r="R148" s="270"/>
      <c r="S148" s="270"/>
    </row>
    <row r="149" spans="1:19" ht="17.25" thickBot="1">
      <c r="A149" s="163" t="s">
        <v>298</v>
      </c>
      <c r="B149" s="249" t="s">
        <v>49</v>
      </c>
      <c r="C149" s="251"/>
      <c r="D149" s="249" t="s">
        <v>58</v>
      </c>
      <c r="E149" s="250"/>
      <c r="F149" s="251"/>
      <c r="G149" s="276">
        <f>_xlfn.IFNA(VLOOKUP(B149, 현재가테이블!$B$2:$D$200, 2, FALSE), "-")</f>
        <v>60874000</v>
      </c>
      <c r="H149" s="277"/>
      <c r="I149" s="278"/>
      <c r="J149" s="249" t="s">
        <v>59</v>
      </c>
      <c r="K149" s="250"/>
      <c r="L149" s="251"/>
      <c r="M149" s="279">
        <f>_xlfn.IFNA(VLOOKUP(B149, 현재가테이블!$B$2:$D$200, 3, FALSE), "-")</f>
        <v>-1.4936000099999999E-2</v>
      </c>
      <c r="N149" s="280"/>
      <c r="O149" s="281"/>
      <c r="Q149" s="270"/>
      <c r="R149" s="270"/>
      <c r="S149" s="270"/>
    </row>
    <row r="150" spans="1:19" ht="17.25" thickBot="1">
      <c r="A150" s="310" t="s">
        <v>55</v>
      </c>
      <c r="B150" s="312" t="str">
        <f>TEXT($G$1, "[$-ko-KR]yyyy-mm-dd(ddd) ") &amp; "오전 00:00"</f>
        <v>2021-05-07(금) 오전 00:00</v>
      </c>
      <c r="C150" s="313"/>
      <c r="D150" s="272" t="str">
        <f>TEXT($G$1, "[$-ko-KR]yyyy-mm-dd(ddd) ") &amp; "오후 14:00"</f>
        <v>2021-05-07(금) 오후 14:00</v>
      </c>
      <c r="E150" s="273"/>
      <c r="F150" s="274"/>
      <c r="G150" s="272" t="str">
        <f>TEXT($G$1, "[$-ko-KR]yyyy-mm-dd(ddd) ") &amp; "오후 19:00"</f>
        <v>2021-05-07(금) 오후 19:00</v>
      </c>
      <c r="H150" s="273"/>
      <c r="I150" s="274"/>
      <c r="J150" s="272" t="str">
        <f>TEXT($G$1, "[$-ko-KR]yyyy-mm-dd(ddd) ") &amp; "오후 21:00"</f>
        <v>2021-05-07(금) 오후 21:00</v>
      </c>
      <c r="K150" s="273"/>
      <c r="L150" s="274"/>
      <c r="M150" s="272" t="str">
        <f>TEXT($G$1+1, "[$-ko-KR]yyyy-mm-dd(ddd) ") &amp; "오전 00:00"</f>
        <v>2021-05-08(토) 오전 00:00</v>
      </c>
      <c r="N150" s="273"/>
      <c r="O150" s="274"/>
      <c r="Q150" s="270"/>
      <c r="R150" s="270"/>
      <c r="S150" s="270"/>
    </row>
    <row r="151" spans="1:19" ht="17.25" thickBot="1">
      <c r="A151" s="311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4" t="s">
        <v>58</v>
      </c>
      <c r="H151" s="165" t="s">
        <v>299</v>
      </c>
      <c r="I151" s="166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75"/>
      <c r="R151" s="275"/>
      <c r="S151" s="275"/>
    </row>
    <row r="152" spans="1:19" ht="17.25" thickBot="1">
      <c r="A152" s="122" t="s">
        <v>122</v>
      </c>
      <c r="B152" s="123">
        <v>117</v>
      </c>
      <c r="C152" s="72">
        <v>-1.6806722699999999E-2</v>
      </c>
      <c r="D152" s="13">
        <v>111</v>
      </c>
      <c r="E152" s="14">
        <f>IF(ISNUMBER(D152), (D152 - $B152) / $B152, "")</f>
        <v>-5.128205128205128E-2</v>
      </c>
      <c r="F152" s="16">
        <f>IF(ISNUMBER(D152), $B172 * E152, "")</f>
        <v>-7692.3076923076924</v>
      </c>
      <c r="G152" s="29">
        <v>111</v>
      </c>
      <c r="H152" s="14">
        <f>IF(ISNUMBER(G152), (G152 - $B152) / $B152, "")</f>
        <v>-5.128205128205128E-2</v>
      </c>
      <c r="I152" s="96">
        <f>IF(ISNUMBER(G152), $B172 * H152, "")</f>
        <v>-7692.3076923076924</v>
      </c>
      <c r="J152" s="13">
        <v>114</v>
      </c>
      <c r="K152" s="14">
        <f>IF(ISNUMBER(J152), (J152 - $B152) / $B152, "")</f>
        <v>-2.564102564102564E-2</v>
      </c>
      <c r="L152" s="16">
        <f>IF(ISNUMBER(J152), $B172 * K152, "")</f>
        <v>-3846.1538461538462</v>
      </c>
      <c r="M152" s="29">
        <v>116</v>
      </c>
      <c r="N152" s="14">
        <f>IF(ISNUMBER(M152), (M152 - $B152) / $B152, "")</f>
        <v>-8.5470085470085479E-3</v>
      </c>
      <c r="O152" s="16">
        <f>IF(ISNUMBER(M152), $B172 * N152, "")</f>
        <v>-1282.0512820512822</v>
      </c>
      <c r="Q152" s="270"/>
      <c r="R152" s="270"/>
      <c r="S152" s="270"/>
    </row>
    <row r="153" spans="1:19" ht="17.25" thickBot="1">
      <c r="A153" s="124" t="s">
        <v>282</v>
      </c>
      <c r="B153" s="125">
        <v>168</v>
      </c>
      <c r="C153" s="73">
        <v>-1.75438596E-2</v>
      </c>
      <c r="D153" s="15">
        <v>164</v>
      </c>
      <c r="E153" s="32">
        <f t="shared" ref="E153:E156" si="78">IF(ISNUMBER(D153), (D153 - $B153) / $B153, "")</f>
        <v>-2.3809523809523808E-2</v>
      </c>
      <c r="F153" s="18">
        <f>IF(ISNUMBER(D153), $B172 * E153, "")</f>
        <v>-3571.4285714285711</v>
      </c>
      <c r="G153" s="31">
        <v>167</v>
      </c>
      <c r="H153" s="32">
        <f t="shared" ref="H153:H156" si="79">IF(ISNUMBER(G153), (G153 - $B153) / $B153, "")</f>
        <v>-5.9523809523809521E-3</v>
      </c>
      <c r="I153" s="97">
        <f>IF(ISNUMBER(G153), $B172 * H153, "")</f>
        <v>-892.85714285714278</v>
      </c>
      <c r="J153" s="15">
        <v>176</v>
      </c>
      <c r="K153" s="32">
        <f t="shared" ref="K153:K156" si="80">IF(ISNUMBER(J153), (J153 - $B153) / $B153, "")</f>
        <v>4.7619047619047616E-2</v>
      </c>
      <c r="L153" s="18">
        <f>IF(ISNUMBER(J153), $B172 * K153, "")</f>
        <v>7142.8571428571422</v>
      </c>
      <c r="M153" s="31">
        <v>177</v>
      </c>
      <c r="N153" s="32">
        <f t="shared" ref="N153:N156" si="81">IF(ISNUMBER(M153), (M153 - $B153) / $B153, "")</f>
        <v>5.3571428571428568E-2</v>
      </c>
      <c r="O153" s="18">
        <f>IF(ISNUMBER(M153), $B172 * N153, "")</f>
        <v>8035.7142857142853</v>
      </c>
      <c r="Q153" s="270"/>
      <c r="R153" s="270"/>
      <c r="S153" s="270"/>
    </row>
    <row r="154" spans="1:19" ht="17.25" thickBot="1">
      <c r="A154" s="124" t="s">
        <v>252</v>
      </c>
      <c r="B154" s="125">
        <v>557</v>
      </c>
      <c r="C154" s="73">
        <v>-2.4518388799999999E-2</v>
      </c>
      <c r="D154" s="15">
        <v>529</v>
      </c>
      <c r="E154" s="32">
        <f t="shared" si="78"/>
        <v>-5.0269299820466788E-2</v>
      </c>
      <c r="F154" s="18">
        <f>IF(ISNUMBER(D154), $B172 * E154, "")</f>
        <v>-7540.3949730700178</v>
      </c>
      <c r="G154" s="31">
        <v>542</v>
      </c>
      <c r="H154" s="32">
        <f t="shared" si="79"/>
        <v>-2.6929982046678635E-2</v>
      </c>
      <c r="I154" s="97">
        <f>IF(ISNUMBER(G154), $B172 * H154, "")</f>
        <v>-4039.4973070017954</v>
      </c>
      <c r="J154" s="15">
        <v>551</v>
      </c>
      <c r="K154" s="32">
        <f t="shared" si="80"/>
        <v>-1.0771992818671455E-2</v>
      </c>
      <c r="L154" s="18">
        <f>IF(ISNUMBER(J154), $B172 * K154, "")</f>
        <v>-1615.7989228007182</v>
      </c>
      <c r="M154" s="31">
        <v>570</v>
      </c>
      <c r="N154" s="32">
        <f t="shared" si="81"/>
        <v>2.333931777378815E-2</v>
      </c>
      <c r="O154" s="18">
        <f>IF(ISNUMBER(M154), $B172 * N154, "")</f>
        <v>3500.8976660682224</v>
      </c>
      <c r="Q154" s="275"/>
      <c r="R154" s="275"/>
      <c r="S154" s="275"/>
    </row>
    <row r="155" spans="1:19" ht="17.25" thickBot="1">
      <c r="A155" s="124" t="s">
        <v>226</v>
      </c>
      <c r="B155" s="125">
        <v>503</v>
      </c>
      <c r="C155" s="73">
        <v>-2.5193798399999998E-2</v>
      </c>
      <c r="D155" s="15">
        <v>475</v>
      </c>
      <c r="E155" s="32">
        <f t="shared" si="78"/>
        <v>-5.5666003976143144E-2</v>
      </c>
      <c r="F155" s="18">
        <f>IF(ISNUMBER(D155), $B172 * E155, "")</f>
        <v>-8349.9005964214721</v>
      </c>
      <c r="G155" s="31">
        <v>478</v>
      </c>
      <c r="H155" s="32">
        <f t="shared" si="79"/>
        <v>-4.9701789264413522E-2</v>
      </c>
      <c r="I155" s="97">
        <f>IF(ISNUMBER(G155), $B172 * H155, "")</f>
        <v>-7455.2683896620283</v>
      </c>
      <c r="J155" s="15">
        <v>487</v>
      </c>
      <c r="K155" s="32">
        <f t="shared" si="80"/>
        <v>-3.1809145129224649E-2</v>
      </c>
      <c r="L155" s="18">
        <f>IF(ISNUMBER(J155), $B172 * K155, "")</f>
        <v>-4771.371769383697</v>
      </c>
      <c r="M155" s="31">
        <v>493</v>
      </c>
      <c r="N155" s="32">
        <f t="shared" si="81"/>
        <v>-1.9880715705765408E-2</v>
      </c>
      <c r="O155" s="18">
        <f>IF(ISNUMBER(M155), $B172 * N155, "")</f>
        <v>-2982.1073558648113</v>
      </c>
      <c r="Q155" s="275"/>
      <c r="R155" s="275"/>
      <c r="S155" s="275"/>
    </row>
    <row r="156" spans="1:19" ht="17.25" thickBot="1">
      <c r="A156" s="126" t="s">
        <v>208</v>
      </c>
      <c r="B156" s="127">
        <v>490</v>
      </c>
      <c r="C156" s="74">
        <v>-2.77777778E-2</v>
      </c>
      <c r="D156" s="20">
        <v>459</v>
      </c>
      <c r="E156" s="21">
        <f t="shared" si="78"/>
        <v>-6.3265306122448975E-2</v>
      </c>
      <c r="F156" s="22">
        <f>IF(ISNUMBER(D156), $B172 * E156, "")</f>
        <v>-9489.7959183673465</v>
      </c>
      <c r="G156" s="30">
        <v>462</v>
      </c>
      <c r="H156" s="21">
        <f t="shared" si="79"/>
        <v>-5.7142857142857141E-2</v>
      </c>
      <c r="I156" s="101">
        <f>IF(ISNUMBER(G156), $B172 * H156, "")</f>
        <v>-8571.4285714285706</v>
      </c>
      <c r="J156" s="20">
        <v>479</v>
      </c>
      <c r="K156" s="21">
        <f t="shared" si="80"/>
        <v>-2.2448979591836733E-2</v>
      </c>
      <c r="L156" s="22">
        <f>IF(ISNUMBER(J156), $B172 * K156, "")</f>
        <v>-3367.3469387755099</v>
      </c>
      <c r="M156" s="30">
        <v>481</v>
      </c>
      <c r="N156" s="21">
        <f t="shared" si="81"/>
        <v>-1.8367346938775512E-2</v>
      </c>
      <c r="O156" s="22">
        <f>IF(ISNUMBER(M156), $B172 * N156, "")</f>
        <v>-2755.1020408163267</v>
      </c>
      <c r="Q156" s="275"/>
      <c r="R156" s="275"/>
      <c r="S156" s="275"/>
    </row>
    <row r="157" spans="1:19" ht="17.25" thickBot="1">
      <c r="A157" s="124" t="s">
        <v>232</v>
      </c>
      <c r="B157" s="128">
        <v>173</v>
      </c>
      <c r="C157" s="76">
        <v>-2.8089887599999998E-2</v>
      </c>
      <c r="D157" s="102">
        <v>160</v>
      </c>
      <c r="E157" s="103">
        <f>IF(ISNUMBER(D157), (D157 - $B157) / $B157, "")</f>
        <v>-7.5144508670520235E-2</v>
      </c>
      <c r="F157" s="104">
        <f>IF(ISNUMBER(D157), $B172 * E157, "")</f>
        <v>-11271.676300578036</v>
      </c>
      <c r="G157" s="105">
        <v>162</v>
      </c>
      <c r="H157" s="103">
        <f>IF(ISNUMBER(G157), (G157 - $B157) / $B157, "")</f>
        <v>-6.358381502890173E-2</v>
      </c>
      <c r="I157" s="106">
        <f>IF(ISNUMBER(G157), $B172 * H157, "")</f>
        <v>-9537.5722543352604</v>
      </c>
      <c r="J157" s="102">
        <v>175</v>
      </c>
      <c r="K157" s="103">
        <f>IF(ISNUMBER(J157), (J157 - $B157) / $B157, "")</f>
        <v>1.1560693641618497E-2</v>
      </c>
      <c r="L157" s="104">
        <f>IF(ISNUMBER(J157), $B172 * K157, "")</f>
        <v>1734.1040462427745</v>
      </c>
      <c r="M157" s="105">
        <v>176</v>
      </c>
      <c r="N157" s="103">
        <f>IF(ISNUMBER(M157), (M157 - $B157) / $B157, "")</f>
        <v>1.7341040462427744E-2</v>
      </c>
      <c r="O157" s="104">
        <f>IF(ISNUMBER(M157), $B172 * N157, "")</f>
        <v>2601.1560693641618</v>
      </c>
      <c r="Q157" s="275"/>
      <c r="R157" s="275"/>
      <c r="S157" s="275"/>
    </row>
    <row r="158" spans="1:19" ht="17.25" thickBot="1">
      <c r="A158" s="124" t="s">
        <v>112</v>
      </c>
      <c r="B158" s="125">
        <v>253</v>
      </c>
      <c r="C158" s="73">
        <v>-3.0651340999999999E-2</v>
      </c>
      <c r="D158" s="15">
        <v>239</v>
      </c>
      <c r="E158" s="32">
        <f t="shared" ref="E158:E161" si="82">IF(ISNUMBER(D158), (D158 - $B158) / $B158, "")</f>
        <v>-5.533596837944664E-2</v>
      </c>
      <c r="F158" s="18">
        <f>IF(ISNUMBER(D158), $B172 * E158, "")</f>
        <v>-8300.395256916996</v>
      </c>
      <c r="G158" s="31">
        <v>239</v>
      </c>
      <c r="H158" s="32">
        <f t="shared" ref="H158:H161" si="83">IF(ISNUMBER(G158), (G158 - $B158) / $B158, "")</f>
        <v>-5.533596837944664E-2</v>
      </c>
      <c r="I158" s="97">
        <f>IF(ISNUMBER(G158), $B172 * H158, "")</f>
        <v>-8300.395256916996</v>
      </c>
      <c r="J158" s="15">
        <v>251</v>
      </c>
      <c r="K158" s="32">
        <f t="shared" ref="K158:K161" si="84">IF(ISNUMBER(J158), (J158 - $B158) / $B158, "")</f>
        <v>-7.9051383399209481E-3</v>
      </c>
      <c r="L158" s="18">
        <f>IF(ISNUMBER(J158), $B172 * K158, "")</f>
        <v>-1185.7707509881423</v>
      </c>
      <c r="M158" s="31">
        <v>263</v>
      </c>
      <c r="N158" s="32">
        <f t="shared" ref="N158:N161" si="85">IF(ISNUMBER(M158), (M158 - $B158) / $B158, "")</f>
        <v>3.9525691699604744E-2</v>
      </c>
      <c r="O158" s="18">
        <f>IF(ISNUMBER(M158), $B172 * N158, "")</f>
        <v>5928.853754940712</v>
      </c>
      <c r="Q158" s="275"/>
      <c r="R158" s="275"/>
      <c r="S158" s="275"/>
    </row>
    <row r="159" spans="1:19" ht="17.25" thickBot="1">
      <c r="A159" s="124" t="s">
        <v>200</v>
      </c>
      <c r="B159" s="125">
        <v>370</v>
      </c>
      <c r="C159" s="73">
        <v>-3.1413612600000002E-2</v>
      </c>
      <c r="D159" s="15">
        <v>343</v>
      </c>
      <c r="E159" s="32">
        <f t="shared" si="82"/>
        <v>-7.2972972972972977E-2</v>
      </c>
      <c r="F159" s="18">
        <f>IF(ISNUMBER(D159), $B172 * E159, "")</f>
        <v>-10945.945945945947</v>
      </c>
      <c r="G159" s="31">
        <v>349</v>
      </c>
      <c r="H159" s="32">
        <f t="shared" si="83"/>
        <v>-5.675675675675676E-2</v>
      </c>
      <c r="I159" s="97">
        <f>IF(ISNUMBER(G159), $B172 * H159, "")</f>
        <v>-8513.5135135135133</v>
      </c>
      <c r="J159" s="15">
        <v>359</v>
      </c>
      <c r="K159" s="32">
        <f t="shared" si="84"/>
        <v>-2.9729729729729731E-2</v>
      </c>
      <c r="L159" s="18">
        <f>IF(ISNUMBER(J159), $B172 * K159, "")</f>
        <v>-4459.45945945946</v>
      </c>
      <c r="M159" s="31">
        <v>365</v>
      </c>
      <c r="N159" s="32">
        <f t="shared" si="85"/>
        <v>-1.3513513513513514E-2</v>
      </c>
      <c r="O159" s="18">
        <f>IF(ISNUMBER(M159), $B172 * N159, "")</f>
        <v>-2027.0270270270271</v>
      </c>
      <c r="Q159" s="275"/>
      <c r="R159" s="275"/>
      <c r="S159" s="275"/>
    </row>
    <row r="160" spans="1:19" ht="17.25" thickBot="1">
      <c r="A160" s="124" t="s">
        <v>174</v>
      </c>
      <c r="B160" s="125">
        <v>273</v>
      </c>
      <c r="C160" s="73">
        <v>-3.1914893600000001E-2</v>
      </c>
      <c r="D160" s="15">
        <v>259</v>
      </c>
      <c r="E160" s="32">
        <f t="shared" si="82"/>
        <v>-5.128205128205128E-2</v>
      </c>
      <c r="F160" s="18">
        <f>IF(ISNUMBER(D160), $B172 * E160, "")</f>
        <v>-7692.3076923076924</v>
      </c>
      <c r="G160" s="31">
        <v>262</v>
      </c>
      <c r="H160" s="32">
        <f t="shared" si="83"/>
        <v>-4.0293040293040296E-2</v>
      </c>
      <c r="I160" s="97">
        <f>IF(ISNUMBER(G160), $B172 * H160, "")</f>
        <v>-6043.9560439560446</v>
      </c>
      <c r="J160" s="15">
        <v>268</v>
      </c>
      <c r="K160" s="32">
        <f t="shared" si="84"/>
        <v>-1.8315018315018316E-2</v>
      </c>
      <c r="L160" s="18">
        <f>IF(ISNUMBER(J160), $B172 * K160, "")</f>
        <v>-2747.2527472527472</v>
      </c>
      <c r="M160" s="31">
        <v>273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29" t="s">
        <v>256</v>
      </c>
      <c r="B161" s="130">
        <v>261</v>
      </c>
      <c r="C161" s="75">
        <v>-3.3333333299999997E-2</v>
      </c>
      <c r="D161" s="24">
        <v>252</v>
      </c>
      <c r="E161" s="25">
        <f t="shared" si="82"/>
        <v>-3.4482758620689655E-2</v>
      </c>
      <c r="F161" s="100">
        <f>IF(ISNUMBER(D161), $B172 * E161, "")</f>
        <v>-5172.4137931034484</v>
      </c>
      <c r="G161" s="98">
        <v>253</v>
      </c>
      <c r="H161" s="25">
        <f t="shared" si="83"/>
        <v>-3.0651340996168581E-2</v>
      </c>
      <c r="I161" s="99">
        <f>IF(ISNUMBER(G161), $B172 * H161, "")</f>
        <v>-4597.7011494252874</v>
      </c>
      <c r="J161" s="24">
        <v>257</v>
      </c>
      <c r="K161" s="25">
        <f t="shared" si="84"/>
        <v>-1.532567049808429E-2</v>
      </c>
      <c r="L161" s="100">
        <f>IF(ISNUMBER(J161), $B172 * K161, "")</f>
        <v>-2298.8505747126437</v>
      </c>
      <c r="M161" s="98">
        <v>258</v>
      </c>
      <c r="N161" s="25">
        <f t="shared" si="85"/>
        <v>-1.1494252873563218E-2</v>
      </c>
      <c r="O161" s="100">
        <f>IF(ISNUMBER(M161), $B172 * N161, "")</f>
        <v>-1724.1379310344828</v>
      </c>
      <c r="Q161" s="284"/>
      <c r="R161" s="285"/>
      <c r="S161" s="286"/>
    </row>
    <row r="162" spans="1:19">
      <c r="A162" s="122" t="s">
        <v>210</v>
      </c>
      <c r="B162" s="123">
        <v>194</v>
      </c>
      <c r="C162" s="72">
        <v>-3.4825870600000003E-2</v>
      </c>
      <c r="D162" s="13">
        <v>174</v>
      </c>
      <c r="E162" s="14">
        <f>IF(ISNUMBER(D162), (D162 - $B162) / $B162, "")</f>
        <v>-0.10309278350515463</v>
      </c>
      <c r="F162" s="16">
        <f>IF(ISNUMBER(D162), $B172 * E162, "")</f>
        <v>-15463.917525773195</v>
      </c>
      <c r="G162" s="29">
        <v>178</v>
      </c>
      <c r="H162" s="14">
        <f>IF(ISNUMBER(G162), (G162 - $B162) / $B162, "")</f>
        <v>-8.247422680412371E-2</v>
      </c>
      <c r="I162" s="96">
        <f>IF(ISNUMBER(G162), $B172 * H162, "")</f>
        <v>-12371.134020618556</v>
      </c>
      <c r="J162" s="13">
        <v>186</v>
      </c>
      <c r="K162" s="14">
        <f>IF(ISNUMBER(J162), (J162 - $B162) / $B162, "")</f>
        <v>-4.1237113402061855E-2</v>
      </c>
      <c r="L162" s="16">
        <f>IF(ISNUMBER(J162), $B172 * K162, "")</f>
        <v>-6185.567010309278</v>
      </c>
      <c r="M162" s="29">
        <v>187</v>
      </c>
      <c r="N162" s="14">
        <f>IF(ISNUMBER(M162), (M162 - $B162) / $B162, "")</f>
        <v>-3.608247422680412E-2</v>
      </c>
      <c r="O162" s="16">
        <f>IF(ISNUMBER(M162), $B172 * N162, "")</f>
        <v>-5412.3711340206182</v>
      </c>
      <c r="Q162" s="287"/>
      <c r="R162" s="288"/>
      <c r="S162" s="289"/>
    </row>
    <row r="163" spans="1:19" ht="17.25" thickBot="1">
      <c r="A163" s="124" t="s">
        <v>202</v>
      </c>
      <c r="B163" s="125">
        <v>216</v>
      </c>
      <c r="C163" s="73">
        <v>-3.5714285700000001E-2</v>
      </c>
      <c r="D163" s="15">
        <v>195</v>
      </c>
      <c r="E163" s="32">
        <f t="shared" ref="E163:E166" si="86">IF(ISNUMBER(D163), (D163 - $B163) / $B163, "")</f>
        <v>-9.7222222222222224E-2</v>
      </c>
      <c r="F163" s="18">
        <f>IF(ISNUMBER(D163), $B172 * E163, "")</f>
        <v>-14583.333333333334</v>
      </c>
      <c r="G163" s="31">
        <v>197</v>
      </c>
      <c r="H163" s="32">
        <f t="shared" ref="H163:H166" si="87">IF(ISNUMBER(G163), (G163 - $B163) / $B163, "")</f>
        <v>-8.7962962962962965E-2</v>
      </c>
      <c r="I163" s="97">
        <f>IF(ISNUMBER(G163), $B172 * H163, "")</f>
        <v>-13194.444444444445</v>
      </c>
      <c r="J163" s="15">
        <v>204</v>
      </c>
      <c r="K163" s="32">
        <f t="shared" ref="K163:K166" si="88">IF(ISNUMBER(J163), (J163 - $B163) / $B163, "")</f>
        <v>-5.5555555555555552E-2</v>
      </c>
      <c r="L163" s="18">
        <f>IF(ISNUMBER(J163), $B172 * K163, "")</f>
        <v>-8333.3333333333321</v>
      </c>
      <c r="M163" s="31">
        <v>206</v>
      </c>
      <c r="N163" s="32">
        <f t="shared" ref="N163:N166" si="89">IF(ISNUMBER(M163), (M163 - $B163) / $B163, "")</f>
        <v>-4.6296296296296294E-2</v>
      </c>
      <c r="O163" s="18">
        <f>IF(ISNUMBER(M163), $B172 * N163, "")</f>
        <v>-6944.4444444444443</v>
      </c>
      <c r="Q163" s="290"/>
      <c r="R163" s="291"/>
      <c r="S163" s="292"/>
    </row>
    <row r="164" spans="1:19" ht="17.25" thickBot="1">
      <c r="A164" s="124" t="s">
        <v>116</v>
      </c>
      <c r="B164" s="125">
        <v>695</v>
      </c>
      <c r="C164" s="73">
        <v>-3.6061026400000001E-2</v>
      </c>
      <c r="D164" s="15">
        <v>647</v>
      </c>
      <c r="E164" s="32">
        <f t="shared" si="86"/>
        <v>-6.9064748201438847E-2</v>
      </c>
      <c r="F164" s="18">
        <f>IF(ISNUMBER(D164), $B172 * E164, "")</f>
        <v>-10359.712230215828</v>
      </c>
      <c r="G164" s="31">
        <v>658</v>
      </c>
      <c r="H164" s="32">
        <f t="shared" si="87"/>
        <v>-5.3237410071942444E-2</v>
      </c>
      <c r="I164" s="97">
        <f>IF(ISNUMBER(G164), $B172 * H164, "")</f>
        <v>-7985.6115107913665</v>
      </c>
      <c r="J164" s="15">
        <v>675</v>
      </c>
      <c r="K164" s="32">
        <f t="shared" si="88"/>
        <v>-2.8776978417266189E-2</v>
      </c>
      <c r="L164" s="18">
        <f>IF(ISNUMBER(J164), $B172 * K164, "")</f>
        <v>-4316.5467625899282</v>
      </c>
      <c r="M164" s="31">
        <v>668</v>
      </c>
      <c r="N164" s="32">
        <f t="shared" si="89"/>
        <v>-3.884892086330935E-2</v>
      </c>
      <c r="O164" s="18">
        <f>IF(ISNUMBER(M164), $B172 * N164, "")</f>
        <v>-5827.3381294964029</v>
      </c>
      <c r="Q164" s="275"/>
      <c r="R164" s="275"/>
      <c r="S164" s="275"/>
    </row>
    <row r="165" spans="1:19" ht="17.25" thickBot="1">
      <c r="A165" s="124" t="s">
        <v>250</v>
      </c>
      <c r="B165" s="125">
        <v>214</v>
      </c>
      <c r="C165" s="73">
        <v>-4.03587444E-2</v>
      </c>
      <c r="D165" s="15">
        <v>199</v>
      </c>
      <c r="E165" s="32">
        <f t="shared" si="86"/>
        <v>-7.0093457943925228E-2</v>
      </c>
      <c r="F165" s="18">
        <f>IF(ISNUMBER(D165), $B172 * E165, "")</f>
        <v>-10514.018691588784</v>
      </c>
      <c r="G165" s="31">
        <v>200</v>
      </c>
      <c r="H165" s="32">
        <f t="shared" si="87"/>
        <v>-6.5420560747663545E-2</v>
      </c>
      <c r="I165" s="97">
        <f>IF(ISNUMBER(G165), $B172 * H165, "")</f>
        <v>-9813.0841121495323</v>
      </c>
      <c r="J165" s="15">
        <v>209</v>
      </c>
      <c r="K165" s="32">
        <f t="shared" si="88"/>
        <v>-2.336448598130841E-2</v>
      </c>
      <c r="L165" s="18">
        <f>IF(ISNUMBER(J165), $B172 * K165, "")</f>
        <v>-3504.6728971962616</v>
      </c>
      <c r="M165" s="31">
        <v>211</v>
      </c>
      <c r="N165" s="32">
        <f t="shared" si="89"/>
        <v>-1.4018691588785047E-2</v>
      </c>
      <c r="O165" s="18">
        <f>IF(ISNUMBER(M165), $B172 * N165, "")</f>
        <v>-2102.8037383177571</v>
      </c>
      <c r="Q165" s="270"/>
      <c r="R165" s="270"/>
      <c r="S165" s="270"/>
    </row>
    <row r="166" spans="1:19" ht="17.25" thickBot="1">
      <c r="A166" s="126" t="s">
        <v>240</v>
      </c>
      <c r="B166" s="127">
        <v>185</v>
      </c>
      <c r="C166" s="74">
        <v>-4.1450777199999997E-2</v>
      </c>
      <c r="D166" s="20">
        <v>170</v>
      </c>
      <c r="E166" s="21">
        <f t="shared" si="86"/>
        <v>-8.1081081081081086E-2</v>
      </c>
      <c r="F166" s="22">
        <f>IF(ISNUMBER(D166), $B172 * E166, "")</f>
        <v>-12162.162162162163</v>
      </c>
      <c r="G166" s="30">
        <v>173</v>
      </c>
      <c r="H166" s="21">
        <f t="shared" si="87"/>
        <v>-6.4864864864864868E-2</v>
      </c>
      <c r="I166" s="101">
        <f>IF(ISNUMBER(G166), $B172 * H166, "")</f>
        <v>-9729.72972972973</v>
      </c>
      <c r="J166" s="20">
        <v>180</v>
      </c>
      <c r="K166" s="21">
        <f t="shared" si="88"/>
        <v>-2.7027027027027029E-2</v>
      </c>
      <c r="L166" s="22">
        <f>IF(ISNUMBER(J166), $B172 * K166, "")</f>
        <v>-4054.0540540540542</v>
      </c>
      <c r="M166" s="30">
        <v>181</v>
      </c>
      <c r="N166" s="21">
        <f t="shared" si="89"/>
        <v>-2.1621621621621623E-2</v>
      </c>
      <c r="O166" s="22">
        <f>IF(ISNUMBER(M166), $B172 * N166, "")</f>
        <v>-3243.2432432432433</v>
      </c>
      <c r="Q166" s="270"/>
      <c r="R166" s="270"/>
      <c r="S166" s="270"/>
    </row>
    <row r="167" spans="1:19" ht="17.25" thickBot="1">
      <c r="A167" s="124" t="s">
        <v>258</v>
      </c>
      <c r="B167" s="128">
        <v>702</v>
      </c>
      <c r="C167" s="76">
        <v>-4.4897959199999997E-2</v>
      </c>
      <c r="D167" s="102">
        <v>658</v>
      </c>
      <c r="E167" s="103">
        <f>IF(ISNUMBER(D167), (D167 - $B167) / $B167, "")</f>
        <v>-6.2678062678062682E-2</v>
      </c>
      <c r="F167" s="104">
        <f>IF(ISNUMBER(D167), $B172 * E167, "")</f>
        <v>-9401.7094017094023</v>
      </c>
      <c r="G167" s="105">
        <v>669</v>
      </c>
      <c r="H167" s="103">
        <f>IF(ISNUMBER(G167), (G167 - $B167) / $B167, "")</f>
        <v>-4.7008547008547008E-2</v>
      </c>
      <c r="I167" s="106">
        <f>IF(ISNUMBER(G167), $B172 * H167, "")</f>
        <v>-7051.2820512820508</v>
      </c>
      <c r="J167" s="102">
        <v>692</v>
      </c>
      <c r="K167" s="103">
        <f>IF(ISNUMBER(J167), (J167 - $B167) / $B167, "")</f>
        <v>-1.4245014245014245E-2</v>
      </c>
      <c r="L167" s="104">
        <f>IF(ISNUMBER(J167), $B172 * K167, "")</f>
        <v>-2136.7521367521367</v>
      </c>
      <c r="M167" s="105">
        <v>697</v>
      </c>
      <c r="N167" s="103">
        <f>IF(ISNUMBER(M167), (M167 - $B167) / $B167, "")</f>
        <v>-7.1225071225071226E-3</v>
      </c>
      <c r="O167" s="104">
        <f>IF(ISNUMBER(M167), $B172 * N167, "")</f>
        <v>-1068.3760683760684</v>
      </c>
      <c r="Q167" s="275"/>
      <c r="R167" s="275"/>
      <c r="S167" s="275"/>
    </row>
    <row r="168" spans="1:19" ht="17.25" thickBot="1">
      <c r="A168" s="124" t="s">
        <v>238</v>
      </c>
      <c r="B168" s="125">
        <v>291</v>
      </c>
      <c r="C168" s="73">
        <v>-4.5901639299999998E-2</v>
      </c>
      <c r="D168" s="15">
        <v>272</v>
      </c>
      <c r="E168" s="32">
        <f t="shared" ref="E168:E171" si="90">IF(ISNUMBER(D168), (D168 - $B168) / $B168, "")</f>
        <v>-6.5292096219931275E-2</v>
      </c>
      <c r="F168" s="18">
        <f>IF(ISNUMBER(D168), $B172 * E168, "")</f>
        <v>-9793.8144329896913</v>
      </c>
      <c r="G168" s="31">
        <v>280</v>
      </c>
      <c r="H168" s="32">
        <f t="shared" ref="H168:H171" si="91">IF(ISNUMBER(G168), (G168 - $B168) / $B168, "")</f>
        <v>-3.7800687285223365E-2</v>
      </c>
      <c r="I168" s="97">
        <f>IF(ISNUMBER(G168), $B172 * H168, "")</f>
        <v>-5670.1030927835045</v>
      </c>
      <c r="J168" s="15">
        <v>287</v>
      </c>
      <c r="K168" s="32">
        <f t="shared" ref="K168:K171" si="92">IF(ISNUMBER(J168), (J168 - $B168) / $B168, "")</f>
        <v>-1.3745704467353952E-2</v>
      </c>
      <c r="L168" s="18">
        <f>IF(ISNUMBER(J168), $B172 * K168, "")</f>
        <v>-2061.855670103093</v>
      </c>
      <c r="M168" s="31">
        <v>292</v>
      </c>
      <c r="N168" s="32">
        <f t="shared" ref="N168:N171" si="93">IF(ISNUMBER(M168), (M168 - $B168) / $B168, "")</f>
        <v>3.4364261168384879E-3</v>
      </c>
      <c r="O168" s="18">
        <f>IF(ISNUMBER(M168), $B172 * N168, "")</f>
        <v>515.46391752577324</v>
      </c>
      <c r="Q168" s="275"/>
      <c r="R168" s="275"/>
      <c r="S168" s="275"/>
    </row>
    <row r="169" spans="1:19" ht="17.25" thickBot="1">
      <c r="A169" s="124" t="s">
        <v>246</v>
      </c>
      <c r="B169" s="125">
        <v>391</v>
      </c>
      <c r="C169" s="73">
        <v>-4.6341463399999998E-2</v>
      </c>
      <c r="D169" s="15">
        <v>363</v>
      </c>
      <c r="E169" s="32">
        <f t="shared" si="90"/>
        <v>-7.1611253196930943E-2</v>
      </c>
      <c r="F169" s="18">
        <f>IF(ISNUMBER(D169), $B172 * E169, "")</f>
        <v>-10741.687979539642</v>
      </c>
      <c r="G169" s="31">
        <v>370</v>
      </c>
      <c r="H169" s="32">
        <f t="shared" si="91"/>
        <v>-5.3708439897698211E-2</v>
      </c>
      <c r="I169" s="97">
        <f>IF(ISNUMBER(G169), $B172 * H169, "")</f>
        <v>-8056.2659846547313</v>
      </c>
      <c r="J169" s="15">
        <v>387</v>
      </c>
      <c r="K169" s="32">
        <f t="shared" si="92"/>
        <v>-1.0230179028132993E-2</v>
      </c>
      <c r="L169" s="18">
        <f>IF(ISNUMBER(J169), $B172 * K169, "")</f>
        <v>-1534.526854219949</v>
      </c>
      <c r="M169" s="31">
        <v>391</v>
      </c>
      <c r="N169" s="32">
        <f t="shared" si="93"/>
        <v>0</v>
      </c>
      <c r="O169" s="18">
        <f>IF(ISNUMBER(M169), $B172 * N169, "")</f>
        <v>0</v>
      </c>
      <c r="Q169" s="275"/>
      <c r="R169" s="275"/>
      <c r="S169" s="275"/>
    </row>
    <row r="170" spans="1:19">
      <c r="A170" s="124" t="s">
        <v>230</v>
      </c>
      <c r="B170" s="125">
        <v>173</v>
      </c>
      <c r="C170" s="73">
        <v>-4.9450549500000003E-2</v>
      </c>
      <c r="D170" s="15">
        <v>158</v>
      </c>
      <c r="E170" s="32">
        <f t="shared" si="90"/>
        <v>-8.6705202312138727E-2</v>
      </c>
      <c r="F170" s="18">
        <f>IF(ISNUMBER(D170), $B172 * E170, "")</f>
        <v>-13005.780346820809</v>
      </c>
      <c r="G170" s="31">
        <v>161</v>
      </c>
      <c r="H170" s="32">
        <f t="shared" si="91"/>
        <v>-6.9364161849710976E-2</v>
      </c>
      <c r="I170" s="97">
        <f>IF(ISNUMBER(G170), $B172 * H170, "")</f>
        <v>-10404.624277456647</v>
      </c>
      <c r="J170" s="15">
        <v>170</v>
      </c>
      <c r="K170" s="32">
        <f t="shared" si="92"/>
        <v>-1.7341040462427744E-2</v>
      </c>
      <c r="L170" s="18">
        <f>IF(ISNUMBER(J170), $B172 * K170, "")</f>
        <v>-2601.1560693641618</v>
      </c>
      <c r="M170" s="31">
        <v>168</v>
      </c>
      <c r="N170" s="32">
        <f t="shared" si="93"/>
        <v>-2.8901734104046242E-2</v>
      </c>
      <c r="O170" s="18">
        <f>IF(ISNUMBER(M170), $B172 * N170, "")</f>
        <v>-4335.2601156069368</v>
      </c>
      <c r="Q170" s="297"/>
      <c r="R170" s="298"/>
      <c r="S170" s="299"/>
    </row>
    <row r="171" spans="1:19" ht="17.25" thickBot="1">
      <c r="A171" s="129" t="s">
        <v>296</v>
      </c>
      <c r="B171" s="130">
        <v>735</v>
      </c>
      <c r="C171" s="75">
        <v>-6.1302681999999997E-2</v>
      </c>
      <c r="D171" s="24">
        <v>693</v>
      </c>
      <c r="E171" s="25">
        <f t="shared" si="90"/>
        <v>-5.7142857142857141E-2</v>
      </c>
      <c r="F171" s="100">
        <f>IF(ISNUMBER(D171), $B172 * E171, "")</f>
        <v>-8571.4285714285706</v>
      </c>
      <c r="G171" s="98">
        <v>743</v>
      </c>
      <c r="H171" s="25">
        <f t="shared" si="91"/>
        <v>1.0884353741496598E-2</v>
      </c>
      <c r="I171" s="99">
        <f>IF(ISNUMBER(G171), $B172 * H171, "")</f>
        <v>1632.6530612244896</v>
      </c>
      <c r="J171" s="24">
        <v>722</v>
      </c>
      <c r="K171" s="25">
        <f t="shared" si="92"/>
        <v>-1.7687074829931974E-2</v>
      </c>
      <c r="L171" s="100">
        <f>IF(ISNUMBER(J171), $B172 * K171, "")</f>
        <v>-2653.0612244897961</v>
      </c>
      <c r="M171" s="98">
        <v>706</v>
      </c>
      <c r="N171" s="25">
        <f t="shared" si="93"/>
        <v>-3.9455782312925167E-2</v>
      </c>
      <c r="O171" s="100">
        <f>IF(ISNUMBER(M171), $B172 * N171, "")</f>
        <v>-5918.367346938775</v>
      </c>
      <c r="Q171" s="300"/>
      <c r="R171" s="301"/>
      <c r="S171" s="302"/>
    </row>
    <row r="172" spans="1:19" ht="17.25" thickBot="1">
      <c r="A172" s="131" t="s">
        <v>301</v>
      </c>
      <c r="B172" s="308">
        <f>$B$37</f>
        <v>150000</v>
      </c>
      <c r="C172" s="309"/>
      <c r="D172" s="26" t="s">
        <v>302</v>
      </c>
      <c r="E172" s="27">
        <f>IF(COUNT(E152:E171), SUM(E152:E171) / COUNT(E152:E171), 0)</f>
        <v>-6.4874710472002869E-2</v>
      </c>
      <c r="F172" s="28">
        <f>SUM(F152:F171)</f>
        <v>-194624.13141600866</v>
      </c>
      <c r="G172" s="26" t="s">
        <v>302</v>
      </c>
      <c r="H172" s="27">
        <f>IF(COUNT(H152:H171), SUM(H152:H171) / COUNT(H152:H171), 0)</f>
        <v>-4.9429374494696816E-2</v>
      </c>
      <c r="I172" s="28">
        <f>SUM(I152:I171)</f>
        <v>-148288.12348409035</v>
      </c>
      <c r="J172" s="26" t="s">
        <v>302</v>
      </c>
      <c r="K172" s="27">
        <f>IF(COUNT(K152:K171), SUM(K152:K171) / COUNT(K152:K171), 0)</f>
        <v>-1.7598856610946283E-2</v>
      </c>
      <c r="L172" s="28">
        <f>SUM(L152:L171)</f>
        <v>-52796.569832838817</v>
      </c>
      <c r="M172" s="26" t="s">
        <v>302</v>
      </c>
      <c r="N172" s="27">
        <f>IF(COUNT(N152:N171), SUM(N152:N171) / COUNT(N152:N171), 0)</f>
        <v>-8.3468480545416755E-3</v>
      </c>
      <c r="O172" s="28">
        <f>SUM(O152:O171)</f>
        <v>-25040.544163625025</v>
      </c>
      <c r="Q172" s="303"/>
      <c r="R172" s="304"/>
      <c r="S172" s="305"/>
    </row>
    <row r="174" spans="1:19" ht="17.25" thickBot="1"/>
    <row r="175" spans="1:19" ht="17.25" thickBot="1">
      <c r="A175" s="249" t="s">
        <v>285</v>
      </c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50"/>
      <c r="M175" s="250"/>
      <c r="N175" s="250"/>
      <c r="O175" s="251"/>
      <c r="Q175" s="270"/>
      <c r="R175" s="270"/>
      <c r="S175" s="270"/>
    </row>
    <row r="176" spans="1:19" ht="17.25" thickBot="1">
      <c r="A176" s="163" t="s">
        <v>298</v>
      </c>
      <c r="B176" s="249" t="s">
        <v>49</v>
      </c>
      <c r="C176" s="251"/>
      <c r="D176" s="249" t="s">
        <v>58</v>
      </c>
      <c r="E176" s="250"/>
      <c r="F176" s="251"/>
      <c r="G176" s="276">
        <f>_xlfn.IFNA(VLOOKUP(B176, 현재가테이블!$B$2:$D$200, 2, FALSE), "-")</f>
        <v>60874000</v>
      </c>
      <c r="H176" s="277"/>
      <c r="I176" s="278"/>
      <c r="J176" s="249" t="s">
        <v>59</v>
      </c>
      <c r="K176" s="250"/>
      <c r="L176" s="251"/>
      <c r="M176" s="279">
        <f>_xlfn.IFNA(VLOOKUP(B176, 현재가테이블!$B$2:$D$200, 3, FALSE), "-")</f>
        <v>-1.4936000099999999E-2</v>
      </c>
      <c r="N176" s="280"/>
      <c r="O176" s="281"/>
      <c r="Q176" s="270"/>
      <c r="R176" s="270"/>
      <c r="S176" s="270"/>
    </row>
    <row r="177" spans="1:19" ht="17.25" thickBot="1">
      <c r="A177" s="310" t="s">
        <v>55</v>
      </c>
      <c r="B177" s="312" t="str">
        <f>TEXT($G$1, "[$-ko-KR]yyyy-mm-dd(ddd) ") &amp; "오전 00:00"</f>
        <v>2021-05-07(금) 오전 00:00</v>
      </c>
      <c r="C177" s="313"/>
      <c r="D177" s="272" t="str">
        <f>TEXT($G$1, "[$-ko-KR]yyyy-mm-dd(ddd) ") &amp; "오후 14:00"</f>
        <v>2021-05-07(금) 오후 14:00</v>
      </c>
      <c r="E177" s="273"/>
      <c r="F177" s="274"/>
      <c r="G177" s="272" t="str">
        <f>TEXT($G$1, "[$-ko-KR]yyyy-mm-dd(ddd) ") &amp; "오후 19:00"</f>
        <v>2021-05-07(금) 오후 19:00</v>
      </c>
      <c r="H177" s="273"/>
      <c r="I177" s="274"/>
      <c r="J177" s="272" t="str">
        <f>TEXT($G$1, "[$-ko-KR]yyyy-mm-dd(ddd) ") &amp; "오후 21:00"</f>
        <v>2021-05-07(금) 오후 21:00</v>
      </c>
      <c r="K177" s="273"/>
      <c r="L177" s="274"/>
      <c r="M177" s="272" t="str">
        <f>TEXT($G$1+1, "[$-ko-KR]yyyy-mm-dd(ddd) ") &amp; "오전 00:00"</f>
        <v>2021-05-08(토) 오전 00:00</v>
      </c>
      <c r="N177" s="273"/>
      <c r="O177" s="274"/>
      <c r="Q177" s="270"/>
      <c r="R177" s="270"/>
      <c r="S177" s="270"/>
    </row>
    <row r="178" spans="1:19" ht="17.25" thickBot="1">
      <c r="A178" s="311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4" t="s">
        <v>58</v>
      </c>
      <c r="H178" s="165" t="s">
        <v>299</v>
      </c>
      <c r="I178" s="166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75"/>
      <c r="R178" s="275"/>
      <c r="S178" s="275"/>
    </row>
    <row r="179" spans="1:19" ht="17.25" thickBot="1">
      <c r="A179" s="122" t="s">
        <v>218</v>
      </c>
      <c r="B179" s="123">
        <v>28.5</v>
      </c>
      <c r="C179" s="72">
        <v>-4.0404040400000001E-2</v>
      </c>
      <c r="D179" s="13">
        <v>25.7</v>
      </c>
      <c r="E179" s="14">
        <f>IF(ISNUMBER(D179), (D179 - $B179) / $B179, "")</f>
        <v>-9.8245614035087747E-2</v>
      </c>
      <c r="F179" s="16">
        <f>IF(ISNUMBER(D179), $B199 * E179, "")</f>
        <v>-14736.842105263162</v>
      </c>
      <c r="G179" s="29">
        <v>26.5</v>
      </c>
      <c r="H179" s="14">
        <f>IF(ISNUMBER(G179), (G179 - $B179) / $B179, "")</f>
        <v>-7.0175438596491224E-2</v>
      </c>
      <c r="I179" s="96">
        <f>IF(ISNUMBER(G179), $B199 * H179, "")</f>
        <v>-10526.315789473683</v>
      </c>
      <c r="J179" s="13">
        <v>28.2</v>
      </c>
      <c r="K179" s="14">
        <f>IF(ISNUMBER(J179), (J179 - $B179) / $B179, "")</f>
        <v>-1.052631578947371E-2</v>
      </c>
      <c r="L179" s="16">
        <f>IF(ISNUMBER(J179), $B199 * K179, "")</f>
        <v>-1578.9473684210566</v>
      </c>
      <c r="M179" s="29">
        <v>29.1</v>
      </c>
      <c r="N179" s="14">
        <f>IF(ISNUMBER(M179), (M179 - $B179) / $B179, "")</f>
        <v>2.105263157894742E-2</v>
      </c>
      <c r="O179" s="16">
        <f>IF(ISNUMBER(M179), $B199 * N179, "")</f>
        <v>3157.8947368421132</v>
      </c>
      <c r="Q179" s="270"/>
      <c r="R179" s="270"/>
      <c r="S179" s="270"/>
    </row>
    <row r="180" spans="1:19" ht="17.25" thickBot="1">
      <c r="A180" s="124" t="s">
        <v>154</v>
      </c>
      <c r="B180" s="125">
        <v>21.1</v>
      </c>
      <c r="C180" s="73">
        <v>-4.09090909E-2</v>
      </c>
      <c r="D180" s="15">
        <v>19.399999999999999</v>
      </c>
      <c r="E180" s="32">
        <f t="shared" ref="E180:E183" si="94">IF(ISNUMBER(D180), (D180 - $B180) / $B180, "")</f>
        <v>-8.0568720379147044E-2</v>
      </c>
      <c r="F180" s="18">
        <f>IF(ISNUMBER(D180), $B199 * E180, "")</f>
        <v>-12085.308056872056</v>
      </c>
      <c r="G180" s="31">
        <v>19.899999999999999</v>
      </c>
      <c r="H180" s="32">
        <f t="shared" ref="H180:H183" si="95">IF(ISNUMBER(G180), (G180 - $B180) / $B180, "")</f>
        <v>-5.6872037914692072E-2</v>
      </c>
      <c r="I180" s="97">
        <f>IF(ISNUMBER(G180), $B199 * H180, "")</f>
        <v>-8530.8056872038105</v>
      </c>
      <c r="J180" s="15">
        <v>20.7</v>
      </c>
      <c r="K180" s="32">
        <f t="shared" ref="K180:K183" si="96">IF(ISNUMBER(J180), (J180 - $B180) / $B180, "")</f>
        <v>-1.895734597156408E-2</v>
      </c>
      <c r="L180" s="18">
        <f>IF(ISNUMBER(J180), $B199 * K180, "")</f>
        <v>-2843.6018957346118</v>
      </c>
      <c r="M180" s="31">
        <v>20.8</v>
      </c>
      <c r="N180" s="32">
        <f t="shared" ref="N180:N183" si="97">IF(ISNUMBER(M180), (M180 - $B180) / $B180, "")</f>
        <v>-1.4218009478673018E-2</v>
      </c>
      <c r="O180" s="18">
        <f>IF(ISNUMBER(M180), $B199 * N180, "")</f>
        <v>-2132.7014218009526</v>
      </c>
      <c r="Q180" s="270"/>
      <c r="R180" s="270"/>
      <c r="S180" s="270"/>
    </row>
    <row r="181" spans="1:19" ht="17.25" thickBot="1">
      <c r="A181" s="124" t="s">
        <v>240</v>
      </c>
      <c r="B181" s="125">
        <v>185</v>
      </c>
      <c r="C181" s="73">
        <v>-4.1450777199999997E-2</v>
      </c>
      <c r="D181" s="15">
        <v>170</v>
      </c>
      <c r="E181" s="32">
        <f t="shared" si="94"/>
        <v>-8.1081081081081086E-2</v>
      </c>
      <c r="F181" s="18">
        <f>IF(ISNUMBER(D181), $B199 * E181, "")</f>
        <v>-12162.162162162163</v>
      </c>
      <c r="G181" s="31">
        <v>173</v>
      </c>
      <c r="H181" s="32">
        <f t="shared" si="95"/>
        <v>-6.4864864864864868E-2</v>
      </c>
      <c r="I181" s="97">
        <f>IF(ISNUMBER(G181), $B199 * H181, "")</f>
        <v>-9729.72972972973</v>
      </c>
      <c r="J181" s="15">
        <v>180</v>
      </c>
      <c r="K181" s="32">
        <f t="shared" si="96"/>
        <v>-2.7027027027027029E-2</v>
      </c>
      <c r="L181" s="18">
        <f>IF(ISNUMBER(J181), $B199 * K181, "")</f>
        <v>-4054.0540540540542</v>
      </c>
      <c r="M181" s="31">
        <v>181</v>
      </c>
      <c r="N181" s="32">
        <f t="shared" si="97"/>
        <v>-2.1621621621621623E-2</v>
      </c>
      <c r="O181" s="18">
        <f>IF(ISNUMBER(M181), $B199 * N181, "")</f>
        <v>-3243.2432432432433</v>
      </c>
      <c r="Q181" s="275"/>
      <c r="R181" s="275"/>
      <c r="S181" s="275"/>
    </row>
    <row r="182" spans="1:19" ht="17.25" thickBot="1">
      <c r="A182" s="124" t="s">
        <v>228</v>
      </c>
      <c r="B182" s="125">
        <v>18.399999999999999</v>
      </c>
      <c r="C182" s="73">
        <v>-4.16666667E-2</v>
      </c>
      <c r="D182" s="15">
        <v>17.399999999999999</v>
      </c>
      <c r="E182" s="32">
        <f t="shared" si="94"/>
        <v>-5.4347826086956527E-2</v>
      </c>
      <c r="F182" s="18">
        <f>IF(ISNUMBER(D182), $B199 * E182, "")</f>
        <v>-8152.1739130434789</v>
      </c>
      <c r="G182" s="31">
        <v>17.600000000000001</v>
      </c>
      <c r="H182" s="32">
        <f t="shared" si="95"/>
        <v>-4.3478260869565064E-2</v>
      </c>
      <c r="I182" s="97">
        <f>IF(ISNUMBER(G182), $B199 * H182, "")</f>
        <v>-6521.7391304347593</v>
      </c>
      <c r="J182" s="15">
        <v>18.3</v>
      </c>
      <c r="K182" s="32">
        <f t="shared" si="96"/>
        <v>-5.4347826086955367E-3</v>
      </c>
      <c r="L182" s="18">
        <f>IF(ISNUMBER(J182), $B199 * K182, "")</f>
        <v>-815.21739130433048</v>
      </c>
      <c r="M182" s="31">
        <v>18.3</v>
      </c>
      <c r="N182" s="32">
        <f t="shared" si="97"/>
        <v>-5.4347826086955367E-3</v>
      </c>
      <c r="O182" s="18">
        <f>IF(ISNUMBER(M182), $B199 * N182, "")</f>
        <v>-815.21739130433048</v>
      </c>
      <c r="Q182" s="275"/>
      <c r="R182" s="275"/>
      <c r="S182" s="275"/>
    </row>
    <row r="183" spans="1:19" ht="17.25" thickBot="1">
      <c r="A183" s="126" t="s">
        <v>258</v>
      </c>
      <c r="B183" s="127">
        <v>702</v>
      </c>
      <c r="C183" s="74">
        <v>-4.4897959199999997E-2</v>
      </c>
      <c r="D183" s="20">
        <v>658</v>
      </c>
      <c r="E183" s="21">
        <f t="shared" si="94"/>
        <v>-6.2678062678062682E-2</v>
      </c>
      <c r="F183" s="22">
        <f>IF(ISNUMBER(D183), $B199 * E183, "")</f>
        <v>-9401.7094017094023</v>
      </c>
      <c r="G183" s="30">
        <v>669</v>
      </c>
      <c r="H183" s="21">
        <f t="shared" si="95"/>
        <v>-4.7008547008547008E-2</v>
      </c>
      <c r="I183" s="101">
        <f>IF(ISNUMBER(G183), $B199 * H183, "")</f>
        <v>-7051.2820512820508</v>
      </c>
      <c r="J183" s="20">
        <v>692</v>
      </c>
      <c r="K183" s="21">
        <f t="shared" si="96"/>
        <v>-1.4245014245014245E-2</v>
      </c>
      <c r="L183" s="22">
        <f>IF(ISNUMBER(J183), $B199 * K183, "")</f>
        <v>-2136.7521367521367</v>
      </c>
      <c r="M183" s="30">
        <v>697</v>
      </c>
      <c r="N183" s="21">
        <f t="shared" si="97"/>
        <v>-7.1225071225071226E-3</v>
      </c>
      <c r="O183" s="22">
        <f>IF(ISNUMBER(M183), $B199 * N183, "")</f>
        <v>-1068.3760683760684</v>
      </c>
      <c r="Q183" s="275"/>
      <c r="R183" s="275"/>
      <c r="S183" s="275"/>
    </row>
    <row r="184" spans="1:19" ht="17.25" thickBot="1">
      <c r="A184" s="124" t="s">
        <v>238</v>
      </c>
      <c r="B184" s="128">
        <v>291</v>
      </c>
      <c r="C184" s="76">
        <v>-4.5901639299999998E-2</v>
      </c>
      <c r="D184" s="102">
        <v>272</v>
      </c>
      <c r="E184" s="103">
        <f>IF(ISNUMBER(D184), (D184 - $B184) / $B184, "")</f>
        <v>-6.5292096219931275E-2</v>
      </c>
      <c r="F184" s="104">
        <f>IF(ISNUMBER(D184), $B199 * E184, "")</f>
        <v>-9793.8144329896913</v>
      </c>
      <c r="G184" s="105">
        <v>280</v>
      </c>
      <c r="H184" s="103">
        <f>IF(ISNUMBER(G184), (G184 - $B184) / $B184, "")</f>
        <v>-3.7800687285223365E-2</v>
      </c>
      <c r="I184" s="106">
        <f>IF(ISNUMBER(G184), $B199 * H184, "")</f>
        <v>-5670.1030927835045</v>
      </c>
      <c r="J184" s="102">
        <v>287</v>
      </c>
      <c r="K184" s="103">
        <f>IF(ISNUMBER(J184), (J184 - $B184) / $B184, "")</f>
        <v>-1.3745704467353952E-2</v>
      </c>
      <c r="L184" s="104">
        <f>IF(ISNUMBER(J184), $B199 * K184, "")</f>
        <v>-2061.855670103093</v>
      </c>
      <c r="M184" s="105">
        <v>292</v>
      </c>
      <c r="N184" s="103">
        <f>IF(ISNUMBER(M184), (M184 - $B184) / $B184, "")</f>
        <v>3.4364261168384879E-3</v>
      </c>
      <c r="O184" s="104">
        <f>IF(ISNUMBER(M184), $B199 * N184, "")</f>
        <v>515.46391752577324</v>
      </c>
      <c r="Q184" s="275"/>
      <c r="R184" s="275"/>
      <c r="S184" s="275"/>
    </row>
    <row r="185" spans="1:19" ht="17.25" thickBot="1">
      <c r="A185" s="124" t="s">
        <v>246</v>
      </c>
      <c r="B185" s="125">
        <v>391</v>
      </c>
      <c r="C185" s="73">
        <v>-4.6341463399999998E-2</v>
      </c>
      <c r="D185" s="15">
        <v>363</v>
      </c>
      <c r="E185" s="32">
        <f t="shared" ref="E185:E188" si="98">IF(ISNUMBER(D185), (D185 - $B185) / $B185, "")</f>
        <v>-7.1611253196930943E-2</v>
      </c>
      <c r="F185" s="18">
        <f>IF(ISNUMBER(D185), $B199 * E185, "")</f>
        <v>-10741.687979539642</v>
      </c>
      <c r="G185" s="31">
        <v>370</v>
      </c>
      <c r="H185" s="32">
        <f t="shared" ref="H185:H188" si="99">IF(ISNUMBER(G185), (G185 - $B185) / $B185, "")</f>
        <v>-5.3708439897698211E-2</v>
      </c>
      <c r="I185" s="97">
        <f>IF(ISNUMBER(G185), $B199 * H185, "")</f>
        <v>-8056.2659846547313</v>
      </c>
      <c r="J185" s="15">
        <v>387</v>
      </c>
      <c r="K185" s="32">
        <f t="shared" ref="K185:K188" si="100">IF(ISNUMBER(J185), (J185 - $B185) / $B185, "")</f>
        <v>-1.0230179028132993E-2</v>
      </c>
      <c r="L185" s="18">
        <f>IF(ISNUMBER(J185), $B199 * K185, "")</f>
        <v>-1534.526854219949</v>
      </c>
      <c r="M185" s="31">
        <v>391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75"/>
      <c r="R185" s="275"/>
      <c r="S185" s="275"/>
    </row>
    <row r="186" spans="1:19" ht="17.25" thickBot="1">
      <c r="A186" s="124" t="s">
        <v>268</v>
      </c>
      <c r="B186" s="125">
        <v>96.1</v>
      </c>
      <c r="C186" s="73">
        <v>-4.8514851499999997E-2</v>
      </c>
      <c r="D186" s="15">
        <v>89.1</v>
      </c>
      <c r="E186" s="32">
        <f t="shared" si="98"/>
        <v>-7.2840790842872011E-2</v>
      </c>
      <c r="F186" s="18">
        <f>IF(ISNUMBER(D186), $B199 * E186, "")</f>
        <v>-10926.118626430802</v>
      </c>
      <c r="G186" s="31">
        <v>89.9</v>
      </c>
      <c r="H186" s="32">
        <f t="shared" si="99"/>
        <v>-6.4516129032257952E-2</v>
      </c>
      <c r="I186" s="97">
        <f>IF(ISNUMBER(G186), $B199 * H186, "")</f>
        <v>-9677.419354838692</v>
      </c>
      <c r="J186" s="15">
        <v>93.1</v>
      </c>
      <c r="K186" s="32">
        <f t="shared" si="100"/>
        <v>-3.1217481789802291E-2</v>
      </c>
      <c r="L186" s="18">
        <f>IF(ISNUMBER(J186), $B199 * K186, "")</f>
        <v>-4682.6222684703434</v>
      </c>
      <c r="M186" s="31">
        <v>93.4</v>
      </c>
      <c r="N186" s="32">
        <f t="shared" si="101"/>
        <v>-2.8095733610821943E-2</v>
      </c>
      <c r="O186" s="18">
        <f>IF(ISNUMBER(M186), $B199 * N186, "")</f>
        <v>-4214.3600416232912</v>
      </c>
      <c r="Q186" s="275"/>
      <c r="R186" s="275"/>
      <c r="S186" s="275"/>
    </row>
    <row r="187" spans="1:19" ht="17.25" thickBot="1">
      <c r="A187" s="124" t="s">
        <v>254</v>
      </c>
      <c r="B187" s="125">
        <v>86</v>
      </c>
      <c r="C187" s="73">
        <v>-4.8672566399999999E-2</v>
      </c>
      <c r="D187" s="15">
        <v>79.7</v>
      </c>
      <c r="E187" s="32">
        <f t="shared" si="98"/>
        <v>-7.3255813953488333E-2</v>
      </c>
      <c r="F187" s="18">
        <f>IF(ISNUMBER(D187), $B199 * E187, "")</f>
        <v>-10988.37209302325</v>
      </c>
      <c r="G187" s="31">
        <v>80.5</v>
      </c>
      <c r="H187" s="32">
        <f t="shared" si="99"/>
        <v>-6.3953488372093026E-2</v>
      </c>
      <c r="I187" s="97">
        <f>IF(ISNUMBER(G187), $B199 * H187, "")</f>
        <v>-9593.0232558139542</v>
      </c>
      <c r="J187" s="15">
        <v>83</v>
      </c>
      <c r="K187" s="32">
        <f t="shared" si="100"/>
        <v>-3.4883720930232558E-2</v>
      </c>
      <c r="L187" s="18">
        <f>IF(ISNUMBER(J187), $B199 * K187, "")</f>
        <v>-5232.5581395348836</v>
      </c>
      <c r="M187" s="31">
        <v>83.8</v>
      </c>
      <c r="N187" s="32">
        <f t="shared" si="101"/>
        <v>-2.5581395348837244E-2</v>
      </c>
      <c r="O187" s="18">
        <f>IF(ISNUMBER(M187), $B199 * N187, "")</f>
        <v>-3837.2093023255866</v>
      </c>
      <c r="Q187" s="33"/>
      <c r="R187" s="33"/>
    </row>
    <row r="188" spans="1:19" ht="17.25" thickBot="1">
      <c r="A188" s="129" t="s">
        <v>190</v>
      </c>
      <c r="B188" s="130">
        <v>72510</v>
      </c>
      <c r="C188" s="75">
        <v>-4.9173878800000001E-2</v>
      </c>
      <c r="D188" s="24">
        <v>66940</v>
      </c>
      <c r="E188" s="25">
        <f t="shared" si="98"/>
        <v>-7.681699075989519E-2</v>
      </c>
      <c r="F188" s="100">
        <f>IF(ISNUMBER(D188), $B199 * E188, "")</f>
        <v>-11522.548613984278</v>
      </c>
      <c r="G188" s="98">
        <v>67120</v>
      </c>
      <c r="H188" s="25">
        <f t="shared" si="99"/>
        <v>-7.4334574541442558E-2</v>
      </c>
      <c r="I188" s="99">
        <f>IF(ISNUMBER(G188), $B199 * H188, "")</f>
        <v>-11150.186181216384</v>
      </c>
      <c r="J188" s="24">
        <v>70370</v>
      </c>
      <c r="K188" s="25">
        <f t="shared" si="100"/>
        <v>-2.9513170597159012E-2</v>
      </c>
      <c r="L188" s="100">
        <f>IF(ISNUMBER(J188), $B199 * K188, "")</f>
        <v>-4426.9755895738517</v>
      </c>
      <c r="M188" s="98">
        <v>70940</v>
      </c>
      <c r="N188" s="25">
        <f t="shared" si="101"/>
        <v>-2.1652185905392359E-2</v>
      </c>
      <c r="O188" s="100">
        <f>IF(ISNUMBER(M188), $B199 * N188, "")</f>
        <v>-3247.8278858088538</v>
      </c>
      <c r="Q188" s="284"/>
      <c r="R188" s="285"/>
      <c r="S188" s="286"/>
    </row>
    <row r="189" spans="1:19">
      <c r="A189" s="122" t="s">
        <v>220</v>
      </c>
      <c r="B189" s="123">
        <v>21.2</v>
      </c>
      <c r="C189" s="72">
        <v>-4.9327354300000001E-2</v>
      </c>
      <c r="D189" s="13">
        <v>19.5</v>
      </c>
      <c r="E189" s="14">
        <f>IF(ISNUMBER(D189), (D189 - $B189) / $B189, "")</f>
        <v>-8.0188679245282987E-2</v>
      </c>
      <c r="F189" s="16">
        <f>IF(ISNUMBER(D189), $B199 * E189, "")</f>
        <v>-12028.301886792447</v>
      </c>
      <c r="G189" s="29">
        <v>19.8</v>
      </c>
      <c r="H189" s="14">
        <f>IF(ISNUMBER(G189), (G189 - $B189) / $B189, "")</f>
        <v>-6.6037735849056534E-2</v>
      </c>
      <c r="I189" s="96">
        <f>IF(ISNUMBER(G189), $B199 * H189, "")</f>
        <v>-9905.6603773584793</v>
      </c>
      <c r="J189" s="13">
        <v>20.399999999999999</v>
      </c>
      <c r="K189" s="14">
        <f>IF(ISNUMBER(J189), (J189 - $B189) / $B189, "")</f>
        <v>-3.7735849056603807E-2</v>
      </c>
      <c r="L189" s="16">
        <f>IF(ISNUMBER(J189), $B199 * K189, "")</f>
        <v>-5660.3773584905712</v>
      </c>
      <c r="M189" s="29">
        <v>20.6</v>
      </c>
      <c r="N189" s="14">
        <f>IF(ISNUMBER(M189), (M189 - $B189) / $B189, "")</f>
        <v>-2.830188679245273E-2</v>
      </c>
      <c r="O189" s="16">
        <f>IF(ISNUMBER(M189), $B199 * N189, "")</f>
        <v>-4245.28301886791</v>
      </c>
      <c r="Q189" s="287"/>
      <c r="R189" s="288"/>
      <c r="S189" s="289"/>
    </row>
    <row r="190" spans="1:19" ht="17.25" thickBot="1">
      <c r="A190" s="124" t="s">
        <v>230</v>
      </c>
      <c r="B190" s="125">
        <v>173</v>
      </c>
      <c r="C190" s="73">
        <v>-4.9450549500000003E-2</v>
      </c>
      <c r="D190" s="15">
        <v>158</v>
      </c>
      <c r="E190" s="32">
        <f t="shared" ref="E190:E193" si="102">IF(ISNUMBER(D190), (D190 - $B190) / $B190, "")</f>
        <v>-8.6705202312138727E-2</v>
      </c>
      <c r="F190" s="18">
        <f>IF(ISNUMBER(D190), $B199 * E190, "")</f>
        <v>-13005.780346820809</v>
      </c>
      <c r="G190" s="31">
        <v>161</v>
      </c>
      <c r="H190" s="32">
        <f t="shared" ref="H190:H193" si="103">IF(ISNUMBER(G190), (G190 - $B190) / $B190, "")</f>
        <v>-6.9364161849710976E-2</v>
      </c>
      <c r="I190" s="97">
        <f>IF(ISNUMBER(G190), $B199 * H190, "")</f>
        <v>-10404.624277456647</v>
      </c>
      <c r="J190" s="15">
        <v>170</v>
      </c>
      <c r="K190" s="32">
        <f t="shared" ref="K190:K193" si="104">IF(ISNUMBER(J190), (J190 - $B190) / $B190, "")</f>
        <v>-1.7341040462427744E-2</v>
      </c>
      <c r="L190" s="18">
        <f>IF(ISNUMBER(J190), $B199 * K190, "")</f>
        <v>-2601.1560693641618</v>
      </c>
      <c r="M190" s="31">
        <v>168</v>
      </c>
      <c r="N190" s="32">
        <f t="shared" ref="N190:N193" si="105">IF(ISNUMBER(M190), (M190 - $B190) / $B190, "")</f>
        <v>-2.8901734104046242E-2</v>
      </c>
      <c r="O190" s="18">
        <f>IF(ISNUMBER(M190), $B199 * N190, "")</f>
        <v>-4335.2601156069368</v>
      </c>
      <c r="Q190" s="290"/>
      <c r="R190" s="291"/>
      <c r="S190" s="292"/>
    </row>
    <row r="191" spans="1:19" ht="17.25" thickBot="1">
      <c r="A191" s="124" t="s">
        <v>234</v>
      </c>
      <c r="B191" s="125">
        <v>1375</v>
      </c>
      <c r="C191" s="73">
        <v>-5.1724137900000001E-2</v>
      </c>
      <c r="D191" s="15">
        <v>1260</v>
      </c>
      <c r="E191" s="32">
        <f t="shared" si="102"/>
        <v>-8.3636363636363634E-2</v>
      </c>
      <c r="F191" s="18">
        <f>IF(ISNUMBER(D191), $B199 * E191, "")</f>
        <v>-12545.454545454546</v>
      </c>
      <c r="G191" s="31">
        <v>1300</v>
      </c>
      <c r="H191" s="32">
        <f t="shared" si="103"/>
        <v>-5.4545454545454543E-2</v>
      </c>
      <c r="I191" s="97">
        <f>IF(ISNUMBER(G191), $B199 * H191, "")</f>
        <v>-8181.8181818181811</v>
      </c>
      <c r="J191" s="15">
        <v>1325</v>
      </c>
      <c r="K191" s="32">
        <f t="shared" si="104"/>
        <v>-3.6363636363636362E-2</v>
      </c>
      <c r="L191" s="18">
        <f>IF(ISNUMBER(J191), $B199 * K191, "")</f>
        <v>-5454.545454545454</v>
      </c>
      <c r="M191" s="31">
        <v>1340</v>
      </c>
      <c r="N191" s="32">
        <f t="shared" si="105"/>
        <v>-2.5454545454545455E-2</v>
      </c>
      <c r="O191" s="18">
        <f>IF(ISNUMBER(M191), $B199 * N191, "")</f>
        <v>-3818.1818181818185</v>
      </c>
      <c r="Q191" s="275"/>
      <c r="R191" s="275"/>
      <c r="S191" s="275"/>
    </row>
    <row r="192" spans="1:19" ht="17.25" thickBot="1">
      <c r="A192" s="124" t="s">
        <v>194</v>
      </c>
      <c r="B192" s="125">
        <v>14160</v>
      </c>
      <c r="C192" s="73">
        <v>-5.2208835299999999E-2</v>
      </c>
      <c r="D192" s="15">
        <v>13260</v>
      </c>
      <c r="E192" s="32">
        <f t="shared" si="102"/>
        <v>-6.3559322033898302E-2</v>
      </c>
      <c r="F192" s="18">
        <f>IF(ISNUMBER(D192), $B199 * E192, "")</f>
        <v>-9533.8983050847455</v>
      </c>
      <c r="G192" s="31">
        <v>13300</v>
      </c>
      <c r="H192" s="32">
        <f t="shared" si="103"/>
        <v>-6.0734463276836161E-2</v>
      </c>
      <c r="I192" s="97">
        <f>IF(ISNUMBER(G192), $B199 * H192, "")</f>
        <v>-9110.1694915254247</v>
      </c>
      <c r="J192" s="15">
        <v>13930</v>
      </c>
      <c r="K192" s="32">
        <f t="shared" si="104"/>
        <v>-1.6242937853107344E-2</v>
      </c>
      <c r="L192" s="18">
        <f>IF(ISNUMBER(J192), $B199 * K192, "")</f>
        <v>-2436.4406779661017</v>
      </c>
      <c r="M192" s="31">
        <v>14370</v>
      </c>
      <c r="N192" s="32">
        <f t="shared" si="105"/>
        <v>1.4830508474576272E-2</v>
      </c>
      <c r="O192" s="18">
        <f>IF(ISNUMBER(M192), $B199 * N192, "")</f>
        <v>2224.5762711864409</v>
      </c>
      <c r="Q192" s="270"/>
      <c r="R192" s="270"/>
      <c r="S192" s="270"/>
    </row>
    <row r="193" spans="1:19" ht="17.25" thickBot="1">
      <c r="A193" s="126" t="s">
        <v>67</v>
      </c>
      <c r="B193" s="127">
        <v>8565</v>
      </c>
      <c r="C193" s="74">
        <v>-5.3591160200000001E-2</v>
      </c>
      <c r="D193" s="20">
        <v>7965</v>
      </c>
      <c r="E193" s="21">
        <f t="shared" si="102"/>
        <v>-7.0052539404553416E-2</v>
      </c>
      <c r="F193" s="22">
        <f>IF(ISNUMBER(D193), $B199 * E193, "")</f>
        <v>-10507.880910683012</v>
      </c>
      <c r="G193" s="30">
        <v>8040</v>
      </c>
      <c r="H193" s="21">
        <f t="shared" si="103"/>
        <v>-6.1295971978984239E-2</v>
      </c>
      <c r="I193" s="101">
        <f>IF(ISNUMBER(G193), $B199 * H193, "")</f>
        <v>-9194.3957968476352</v>
      </c>
      <c r="J193" s="20">
        <v>8425</v>
      </c>
      <c r="K193" s="21">
        <f t="shared" si="104"/>
        <v>-1.634559252772913E-2</v>
      </c>
      <c r="L193" s="22">
        <f>IF(ISNUMBER(J193), $B199 * K193, "")</f>
        <v>-2451.8388791593698</v>
      </c>
      <c r="M193" s="30">
        <v>8600</v>
      </c>
      <c r="N193" s="21">
        <f t="shared" si="105"/>
        <v>4.0863981319322826E-3</v>
      </c>
      <c r="O193" s="22">
        <f>IF(ISNUMBER(M193), $B199 * N193, "")</f>
        <v>612.95971978984244</v>
      </c>
      <c r="Q193" s="270"/>
      <c r="R193" s="270"/>
      <c r="S193" s="270"/>
    </row>
    <row r="194" spans="1:19" ht="17.25" thickBot="1">
      <c r="A194" s="124" t="s">
        <v>266</v>
      </c>
      <c r="B194" s="128">
        <v>97.2</v>
      </c>
      <c r="C194" s="76">
        <v>-5.6310679600000003E-2</v>
      </c>
      <c r="D194" s="102">
        <v>89</v>
      </c>
      <c r="E194" s="103">
        <f>IF(ISNUMBER(D194), (D194 - $B194) / $B194, "")</f>
        <v>-8.4362139917695506E-2</v>
      </c>
      <c r="F194" s="104">
        <f>IF(ISNUMBER(D194), $B199 * E194, "")</f>
        <v>-12654.320987654326</v>
      </c>
      <c r="G194" s="105">
        <v>90.4</v>
      </c>
      <c r="H194" s="103">
        <f>IF(ISNUMBER(G194), (G194 - $B194) / $B194, "")</f>
        <v>-6.9958847736625487E-2</v>
      </c>
      <c r="I194" s="106">
        <f>IF(ISNUMBER(G194), $B199 * H194, "")</f>
        <v>-10493.827160493824</v>
      </c>
      <c r="J194" s="102">
        <v>94.3</v>
      </c>
      <c r="K194" s="103">
        <f>IF(ISNUMBER(J194), (J194 - $B194) / $B194, "")</f>
        <v>-2.9835390946502116E-2</v>
      </c>
      <c r="L194" s="104">
        <f>IF(ISNUMBER(J194), $B199 * K194, "")</f>
        <v>-4475.3086419753172</v>
      </c>
      <c r="M194" s="105">
        <v>94.2</v>
      </c>
      <c r="N194" s="103">
        <f>IF(ISNUMBER(M194), (M194 - $B194) / $B194, "")</f>
        <v>-3.0864197530864196E-2</v>
      </c>
      <c r="O194" s="104">
        <f>IF(ISNUMBER(M194), $B199 * N194, "")</f>
        <v>-4629.6296296296296</v>
      </c>
      <c r="Q194" s="275"/>
      <c r="R194" s="275"/>
      <c r="S194" s="275"/>
    </row>
    <row r="195" spans="1:19" ht="17.25" thickBot="1">
      <c r="A195" s="124" t="s">
        <v>296</v>
      </c>
      <c r="B195" s="125">
        <v>735</v>
      </c>
      <c r="C195" s="73">
        <v>-6.1302681999999997E-2</v>
      </c>
      <c r="D195" s="15">
        <v>693</v>
      </c>
      <c r="E195" s="32">
        <f t="shared" ref="E195:E198" si="106">IF(ISNUMBER(D195), (D195 - $B195) / $B195, "")</f>
        <v>-5.7142857142857141E-2</v>
      </c>
      <c r="F195" s="18">
        <f>IF(ISNUMBER(D195), $B199 * E195, "")</f>
        <v>-8571.4285714285706</v>
      </c>
      <c r="G195" s="31">
        <v>743</v>
      </c>
      <c r="H195" s="32">
        <f t="shared" ref="H195:H198" si="107">IF(ISNUMBER(G195), (G195 - $B195) / $B195, "")</f>
        <v>1.0884353741496598E-2</v>
      </c>
      <c r="I195" s="97">
        <f>IF(ISNUMBER(G195), $B199 * H195, "")</f>
        <v>1632.6530612244896</v>
      </c>
      <c r="J195" s="15">
        <v>722</v>
      </c>
      <c r="K195" s="32">
        <f t="shared" ref="K195:K198" si="108">IF(ISNUMBER(J195), (J195 - $B195) / $B195, "")</f>
        <v>-1.7687074829931974E-2</v>
      </c>
      <c r="L195" s="18">
        <f>IF(ISNUMBER(J195), $B199 * K195, "")</f>
        <v>-2653.0612244897961</v>
      </c>
      <c r="M195" s="31">
        <v>706</v>
      </c>
      <c r="N195" s="32">
        <f t="shared" ref="N195:N198" si="109">IF(ISNUMBER(M195), (M195 - $B195) / $B195, "")</f>
        <v>-3.9455782312925167E-2</v>
      </c>
      <c r="O195" s="18">
        <f>IF(ISNUMBER(M195), $B199 * N195, "")</f>
        <v>-5918.367346938775</v>
      </c>
      <c r="Q195" s="275"/>
      <c r="R195" s="275"/>
      <c r="S195" s="275"/>
    </row>
    <row r="196" spans="1:19" ht="17.25" thickBot="1">
      <c r="A196" s="124" t="s">
        <v>206</v>
      </c>
      <c r="B196" s="125">
        <v>37580</v>
      </c>
      <c r="C196" s="73">
        <v>-6.4009962599999998E-2</v>
      </c>
      <c r="D196" s="15">
        <v>34500</v>
      </c>
      <c r="E196" s="32">
        <f t="shared" si="106"/>
        <v>-8.1958488557743486E-2</v>
      </c>
      <c r="F196" s="18">
        <f>IF(ISNUMBER(D196), $B199 * E196, "")</f>
        <v>-12293.773283661523</v>
      </c>
      <c r="G196" s="31">
        <v>35300</v>
      </c>
      <c r="H196" s="32">
        <f t="shared" si="107"/>
        <v>-6.0670569451836083E-2</v>
      </c>
      <c r="I196" s="97">
        <f>IF(ISNUMBER(G196), $B199 * H196, "")</f>
        <v>-9100.5854177754118</v>
      </c>
      <c r="J196" s="15">
        <v>36330</v>
      </c>
      <c r="K196" s="32">
        <f t="shared" si="108"/>
        <v>-3.3262373602980309E-2</v>
      </c>
      <c r="L196" s="18">
        <f>IF(ISNUMBER(J196), $B199 * K196, "")</f>
        <v>-4989.3560404470463</v>
      </c>
      <c r="M196" s="31">
        <v>35950</v>
      </c>
      <c r="N196" s="32">
        <f t="shared" si="109"/>
        <v>-4.3374135178286324E-2</v>
      </c>
      <c r="O196" s="18">
        <f>IF(ISNUMBER(M196), $B199 * N196, "")</f>
        <v>-6506.1202767429486</v>
      </c>
      <c r="Q196" s="275"/>
      <c r="R196" s="275"/>
      <c r="S196" s="275"/>
    </row>
    <row r="197" spans="1:19">
      <c r="A197" s="124" t="s">
        <v>78</v>
      </c>
      <c r="B197" s="125">
        <v>1707500</v>
      </c>
      <c r="C197" s="73">
        <v>-6.4127158099999998E-2</v>
      </c>
      <c r="D197" s="15">
        <v>1709500</v>
      </c>
      <c r="E197" s="32">
        <f t="shared" si="106"/>
        <v>1.171303074670571E-3</v>
      </c>
      <c r="F197" s="18">
        <f>IF(ISNUMBER(D197), $B199 * E197, "")</f>
        <v>175.69546120058564</v>
      </c>
      <c r="G197" s="31">
        <v>1716500</v>
      </c>
      <c r="H197" s="32">
        <f t="shared" si="107"/>
        <v>5.2708638360175692E-3</v>
      </c>
      <c r="I197" s="97">
        <f>IF(ISNUMBER(G197), $B199 * H197, "")</f>
        <v>790.6295754026354</v>
      </c>
      <c r="J197" s="15">
        <v>1739500</v>
      </c>
      <c r="K197" s="32">
        <f t="shared" si="108"/>
        <v>1.8740849194729136E-2</v>
      </c>
      <c r="L197" s="18">
        <f>IF(ISNUMBER(J197), $B199 * K197, "")</f>
        <v>2811.1273792093702</v>
      </c>
      <c r="M197" s="31">
        <v>1685500</v>
      </c>
      <c r="N197" s="32">
        <f t="shared" si="109"/>
        <v>-1.2884333821376281E-2</v>
      </c>
      <c r="O197" s="18">
        <f>IF(ISNUMBER(M197), $B199 * N197, "")</f>
        <v>-1932.6500732064421</v>
      </c>
      <c r="Q197" s="297"/>
      <c r="R197" s="298"/>
      <c r="S197" s="299"/>
    </row>
    <row r="198" spans="1:19" ht="17.25" thickBot="1">
      <c r="A198" s="129" t="s">
        <v>204</v>
      </c>
      <c r="B198" s="130">
        <v>8555</v>
      </c>
      <c r="C198" s="75">
        <v>-6.8082788699999994E-2</v>
      </c>
      <c r="D198" s="24">
        <v>7530</v>
      </c>
      <c r="E198" s="25">
        <f t="shared" si="106"/>
        <v>-0.11981297486849796</v>
      </c>
      <c r="F198" s="100">
        <f>IF(ISNUMBER(D198), $B199 * E198, "")</f>
        <v>-17971.946230274694</v>
      </c>
      <c r="G198" s="98">
        <v>7820</v>
      </c>
      <c r="H198" s="25">
        <f t="shared" si="107"/>
        <v>-8.5914669783752187E-2</v>
      </c>
      <c r="I198" s="99">
        <f>IF(ISNUMBER(G198), $B199 * H198, "")</f>
        <v>-12887.200467562829</v>
      </c>
      <c r="J198" s="24">
        <v>8400</v>
      </c>
      <c r="K198" s="25">
        <f t="shared" si="108"/>
        <v>-1.8118059614260665E-2</v>
      </c>
      <c r="L198" s="100">
        <f>IF(ISNUMBER(J198), $B199 * K198, "")</f>
        <v>-2717.7089421390997</v>
      </c>
      <c r="M198" s="98">
        <v>8045</v>
      </c>
      <c r="N198" s="25">
        <f t="shared" si="109"/>
        <v>-5.9614260666277029E-2</v>
      </c>
      <c r="O198" s="100">
        <f>IF(ISNUMBER(M198), $B199 * N198, "")</f>
        <v>-8942.1390999415544</v>
      </c>
      <c r="Q198" s="300"/>
      <c r="R198" s="301"/>
      <c r="S198" s="302"/>
    </row>
    <row r="199" spans="1:19" ht="17.25" thickBot="1">
      <c r="A199" s="131" t="s">
        <v>301</v>
      </c>
      <c r="B199" s="308">
        <f>$B$37</f>
        <v>150000</v>
      </c>
      <c r="C199" s="309"/>
      <c r="D199" s="26" t="s">
        <v>302</v>
      </c>
      <c r="E199" s="27">
        <f>IF(COUNT(E179:E198), SUM(E179:E198) / COUNT(E179:E198), 0)</f>
        <v>-7.3149275663890678E-2</v>
      </c>
      <c r="F199" s="28">
        <f>SUM(F179:F198)</f>
        <v>-219447.82699167202</v>
      </c>
      <c r="G199" s="26" t="s">
        <v>302</v>
      </c>
      <c r="H199" s="27">
        <f>IF(COUNT(H179:H198), SUM(H179:H198) / COUNT(H179:H198), 0)</f>
        <v>-5.4453956263880873E-2</v>
      </c>
      <c r="I199" s="28">
        <f>SUM(I179:I198)</f>
        <v>-163361.8687916426</v>
      </c>
      <c r="J199" s="26" t="s">
        <v>302</v>
      </c>
      <c r="K199" s="27">
        <f>IF(COUNT(K179:K198), SUM(K179:K198) / COUNT(K179:K198), 0)</f>
        <v>-1.9998592425845285E-2</v>
      </c>
      <c r="L199" s="28">
        <f>SUM(L179:L198)</f>
        <v>-59995.777277535846</v>
      </c>
      <c r="M199" s="26" t="s">
        <v>302</v>
      </c>
      <c r="N199" s="27">
        <f>IF(COUNT(N179:N198), SUM(N179:N198) / COUNT(N179:N198), 0)</f>
        <v>-1.7458557362751391E-2</v>
      </c>
      <c r="O199" s="28">
        <f>SUM(O179:O198)</f>
        <v>-52375.67208825417</v>
      </c>
      <c r="Q199" s="303"/>
      <c r="R199" s="304"/>
      <c r="S199" s="30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81" priority="157">
      <formula>AND($N17 &gt; 0, ISNUMBER($N17))</formula>
    </cfRule>
    <cfRule type="expression" dxfId="1780" priority="158">
      <formula>AND($N17 = 0 * ISNUMBER($N17))</formula>
    </cfRule>
    <cfRule type="expression" dxfId="1779" priority="159">
      <formula>AND($N17 &lt; 0, ISNUMBER($N17))</formula>
    </cfRule>
  </conditionalFormatting>
  <conditionalFormatting sqref="A17:F36">
    <cfRule type="expression" dxfId="1778" priority="166">
      <formula>AND($E17 &gt; 0, ISNUMBER($E17))</formula>
    </cfRule>
    <cfRule type="expression" dxfId="1777" priority="167">
      <formula>AND($E17 = 0 * ISNUMBER($E17))</formula>
    </cfRule>
    <cfRule type="expression" dxfId="1776" priority="168">
      <formula>AND($E17 &lt; 0, ISNUMBER($E17))</formula>
    </cfRule>
  </conditionalFormatting>
  <conditionalFormatting sqref="A17:C36 G17:I36">
    <cfRule type="expression" dxfId="1775" priority="163">
      <formula>AND($H17 &gt; 0, ISNUMBER($H17))</formula>
    </cfRule>
    <cfRule type="expression" dxfId="1774" priority="164">
      <formula>AND($H17 = 0 * ISNUMBER($H17))</formula>
    </cfRule>
    <cfRule type="expression" dxfId="1773" priority="165">
      <formula>AND($H17 &lt; 0, ISNUMBER($H17))</formula>
    </cfRule>
  </conditionalFormatting>
  <conditionalFormatting sqref="A17:C36 J17:L36">
    <cfRule type="expression" dxfId="1772" priority="160">
      <formula>AND($K17 &gt; 0, ISNUMBER($K17))</formula>
    </cfRule>
    <cfRule type="expression" dxfId="1771" priority="161">
      <formula>AND($K17 = 0 * ISNUMBER($K17))</formula>
    </cfRule>
    <cfRule type="expression" dxfId="1770" priority="162">
      <formula>AND($K17 &lt; 0, ISNUMBER($K17))</formula>
    </cfRule>
  </conditionalFormatting>
  <conditionalFormatting sqref="D15:F16 E37:F37">
    <cfRule type="expression" dxfId="1769" priority="154">
      <formula>$E$37 &gt; 0</formula>
    </cfRule>
    <cfRule type="expression" dxfId="1768" priority="155">
      <formula>$E$37 = 0</formula>
    </cfRule>
    <cfRule type="expression" dxfId="1767" priority="156">
      <formula>$E$37 &lt; 0</formula>
    </cfRule>
  </conditionalFormatting>
  <conditionalFormatting sqref="G15:I16 H37:I37">
    <cfRule type="expression" dxfId="1766" priority="151">
      <formula>$H$37 &gt; 0</formula>
    </cfRule>
    <cfRule type="expression" dxfId="1765" priority="152">
      <formula>$H$37 = 0</formula>
    </cfRule>
    <cfRule type="expression" dxfId="1764" priority="153">
      <formula>$H$37 &lt; 0</formula>
    </cfRule>
  </conditionalFormatting>
  <conditionalFormatting sqref="J15:L16 K37:L37">
    <cfRule type="expression" dxfId="1763" priority="148">
      <formula>$K$37 &gt; 0</formula>
    </cfRule>
    <cfRule type="expression" dxfId="1762" priority="149">
      <formula>$K$37 = 0</formula>
    </cfRule>
    <cfRule type="expression" dxfId="1761" priority="150">
      <formula>$K$37 &lt; 0</formula>
    </cfRule>
  </conditionalFormatting>
  <conditionalFormatting sqref="M15:O16 N37:O37">
    <cfRule type="expression" dxfId="1760" priority="145">
      <formula>$N$37 &gt; 0</formula>
    </cfRule>
    <cfRule type="expression" dxfId="1759" priority="146">
      <formula>$N$37 = 0</formula>
    </cfRule>
    <cfRule type="expression" dxfId="1758" priority="147">
      <formula>$N$37 &lt; 0</formula>
    </cfRule>
  </conditionalFormatting>
  <conditionalFormatting sqref="A44:C63 M44:O63">
    <cfRule type="expression" dxfId="1757" priority="133">
      <formula>AND($N44 &gt; 0, ISNUMBER($N44))</formula>
    </cfRule>
    <cfRule type="expression" dxfId="1756" priority="134">
      <formula>AND($N44 = 0 * ISNUMBER($N44))</formula>
    </cfRule>
    <cfRule type="expression" dxfId="1755" priority="135">
      <formula>AND($N44 &lt; 0, ISNUMBER($N44))</formula>
    </cfRule>
  </conditionalFormatting>
  <conditionalFormatting sqref="A44:F63">
    <cfRule type="expression" dxfId="1754" priority="142">
      <formula>AND($E44 &gt; 0, ISNUMBER($E44))</formula>
    </cfRule>
    <cfRule type="expression" dxfId="1753" priority="143">
      <formula>AND($E44 = 0 * ISNUMBER($E44))</formula>
    </cfRule>
    <cfRule type="expression" dxfId="1752" priority="144">
      <formula>AND($E44 &lt; 0, ISNUMBER($E44))</formula>
    </cfRule>
  </conditionalFormatting>
  <conditionalFormatting sqref="A44:C63 G44:I63">
    <cfRule type="expression" dxfId="1751" priority="139">
      <formula>AND($H44 &gt; 0, ISNUMBER($H44))</formula>
    </cfRule>
    <cfRule type="expression" dxfId="1750" priority="140">
      <formula>AND($H44 = 0 * ISNUMBER($H44))</formula>
    </cfRule>
    <cfRule type="expression" dxfId="1749" priority="141">
      <formula>AND($H44 &lt; 0, ISNUMBER($H44))</formula>
    </cfRule>
  </conditionalFormatting>
  <conditionalFormatting sqref="A44:C63 J44:L63">
    <cfRule type="expression" dxfId="1748" priority="136">
      <formula>AND($K44 &gt; 0, ISNUMBER($K44))</formula>
    </cfRule>
    <cfRule type="expression" dxfId="1747" priority="137">
      <formula>AND($K44 = 0 * ISNUMBER($K44))</formula>
    </cfRule>
    <cfRule type="expression" dxfId="1746" priority="138">
      <formula>AND($K44 &lt; 0, ISNUMBER($K44))</formula>
    </cfRule>
  </conditionalFormatting>
  <conditionalFormatting sqref="D42:F43 E64:F64">
    <cfRule type="expression" dxfId="1745" priority="130">
      <formula>$E$64 &gt; 0</formula>
    </cfRule>
    <cfRule type="expression" dxfId="1744" priority="131">
      <formula>$E$64 = 0</formula>
    </cfRule>
    <cfRule type="expression" dxfId="1743" priority="132">
      <formula>$E$64 &lt; 0</formula>
    </cfRule>
  </conditionalFormatting>
  <conditionalFormatting sqref="G42:I43 H64:I64">
    <cfRule type="expression" dxfId="1742" priority="127">
      <formula>$H$64 &gt; 0</formula>
    </cfRule>
    <cfRule type="expression" dxfId="1741" priority="128">
      <formula>$H$64 = 0</formula>
    </cfRule>
    <cfRule type="expression" dxfId="1740" priority="129">
      <formula>$H$64 &lt; 0</formula>
    </cfRule>
  </conditionalFormatting>
  <conditionalFormatting sqref="J42:L43 K64:L64">
    <cfRule type="expression" dxfId="1739" priority="124">
      <formula>$K$64 &gt; 0</formula>
    </cfRule>
    <cfRule type="expression" dxfId="1738" priority="125">
      <formula>$K$64 = 0</formula>
    </cfRule>
    <cfRule type="expression" dxfId="1737" priority="126">
      <formula>$K$64 &lt; 0</formula>
    </cfRule>
  </conditionalFormatting>
  <conditionalFormatting sqref="M42:O43 N64:O64">
    <cfRule type="expression" dxfId="1736" priority="121">
      <formula>$N$64 &gt; 0</formula>
    </cfRule>
    <cfRule type="expression" dxfId="1735" priority="122">
      <formula>$N$64 = 0</formula>
    </cfRule>
    <cfRule type="expression" dxfId="1734" priority="123">
      <formula>$N$64 &lt; 0</formula>
    </cfRule>
  </conditionalFormatting>
  <conditionalFormatting sqref="A71:C90 M71:O90">
    <cfRule type="expression" dxfId="1733" priority="109">
      <formula>AND($N71 &gt; 0, ISNUMBER($N71))</formula>
    </cfRule>
    <cfRule type="expression" dxfId="1732" priority="110">
      <formula>AND($N71 = 0 * ISNUMBER($N71))</formula>
    </cfRule>
    <cfRule type="expression" dxfId="1731" priority="111">
      <formula>AND($N71 &lt; 0, ISNUMBER($N71))</formula>
    </cfRule>
  </conditionalFormatting>
  <conditionalFormatting sqref="A71:F90">
    <cfRule type="expression" dxfId="1730" priority="118">
      <formula>AND($E71 &gt; 0, ISNUMBER($E71))</formula>
    </cfRule>
    <cfRule type="expression" dxfId="1729" priority="119">
      <formula>AND($E71 = 0 * ISNUMBER($E71))</formula>
    </cfRule>
    <cfRule type="expression" dxfId="1728" priority="120">
      <formula>AND($E71 &lt; 0, ISNUMBER($E71))</formula>
    </cfRule>
  </conditionalFormatting>
  <conditionalFormatting sqref="A71:C90 G71:I90">
    <cfRule type="expression" dxfId="1727" priority="115">
      <formula>AND($H71 &gt; 0, ISNUMBER($H71))</formula>
    </cfRule>
    <cfRule type="expression" dxfId="1726" priority="116">
      <formula>AND($H71 = 0 * ISNUMBER($H71))</formula>
    </cfRule>
    <cfRule type="expression" dxfId="1725" priority="117">
      <formula>AND($H71 &lt; 0, ISNUMBER($H71))</formula>
    </cfRule>
  </conditionalFormatting>
  <conditionalFormatting sqref="A71:C90 J71:L90">
    <cfRule type="expression" dxfId="1724" priority="112">
      <formula>AND($K71 &gt; 0, ISNUMBER($K71))</formula>
    </cfRule>
    <cfRule type="expression" dxfId="1723" priority="113">
      <formula>AND($K71 = 0 * ISNUMBER($K71))</formula>
    </cfRule>
    <cfRule type="expression" dxfId="1722" priority="114">
      <formula>AND($K71 &lt; 0, ISNUMBER($K71))</formula>
    </cfRule>
  </conditionalFormatting>
  <conditionalFormatting sqref="D69:F70 E91:F91">
    <cfRule type="expression" dxfId="1721" priority="106">
      <formula>$E$91 &gt; 0</formula>
    </cfRule>
    <cfRule type="expression" dxfId="1720" priority="107">
      <formula>$E$91 = 0</formula>
    </cfRule>
    <cfRule type="expression" dxfId="1719" priority="108">
      <formula>$E$91 &lt; 0</formula>
    </cfRule>
  </conditionalFormatting>
  <conditionalFormatting sqref="G69:I70 H91:I91">
    <cfRule type="expression" dxfId="1718" priority="103">
      <formula>$H$91 &gt; 0</formula>
    </cfRule>
    <cfRule type="expression" dxfId="1717" priority="104">
      <formula>$H$91 = 0</formula>
    </cfRule>
    <cfRule type="expression" dxfId="1716" priority="105">
      <formula>$H$91 &lt; 0</formula>
    </cfRule>
  </conditionalFormatting>
  <conditionalFormatting sqref="J69:L70 K91:L91">
    <cfRule type="expression" dxfId="1715" priority="100">
      <formula>$K$91 &gt; 0</formula>
    </cfRule>
    <cfRule type="expression" dxfId="1714" priority="101">
      <formula>$K$91 = 0</formula>
    </cfRule>
    <cfRule type="expression" dxfId="1713" priority="102">
      <formula>$K$91 &lt; 0</formula>
    </cfRule>
  </conditionalFormatting>
  <conditionalFormatting sqref="M69:O70 N91:O91">
    <cfRule type="expression" dxfId="1712" priority="97">
      <formula>$N$91 &gt; 0</formula>
    </cfRule>
    <cfRule type="expression" dxfId="1711" priority="98">
      <formula>$N$91 = 0</formula>
    </cfRule>
    <cfRule type="expression" dxfId="1710" priority="99">
      <formula>$N$91 &lt; 0</formula>
    </cfRule>
  </conditionalFormatting>
  <conditionalFormatting sqref="A98:C117 M98:O117">
    <cfRule type="expression" dxfId="1709" priority="85">
      <formula>AND($N98 &gt; 0, ISNUMBER($N98))</formula>
    </cfRule>
    <cfRule type="expression" dxfId="1708" priority="86">
      <formula>AND($N98 = 0 * ISNUMBER($N98))</formula>
    </cfRule>
    <cfRule type="expression" dxfId="1707" priority="87">
      <formula>AND($N98 &lt; 0, ISNUMBER($N98))</formula>
    </cfRule>
  </conditionalFormatting>
  <conditionalFormatting sqref="A98:F117">
    <cfRule type="expression" dxfId="1706" priority="94">
      <formula>AND($E98 &gt; 0, ISNUMBER($E98))</formula>
    </cfRule>
    <cfRule type="expression" dxfId="1705" priority="95">
      <formula>AND($E98 = 0 * ISNUMBER($E98))</formula>
    </cfRule>
    <cfRule type="expression" dxfId="1704" priority="96">
      <formula>AND($E98 &lt; 0, ISNUMBER($E98))</formula>
    </cfRule>
  </conditionalFormatting>
  <conditionalFormatting sqref="A98:C117 G98:I117">
    <cfRule type="expression" dxfId="1703" priority="91">
      <formula>AND($H98 &gt; 0, ISNUMBER($H98))</formula>
    </cfRule>
    <cfRule type="expression" dxfId="1702" priority="92">
      <formula>AND($H98 = 0 * ISNUMBER($H98))</formula>
    </cfRule>
    <cfRule type="expression" dxfId="1701" priority="93">
      <formula>AND($H98 &lt; 0, ISNUMBER($H98))</formula>
    </cfRule>
  </conditionalFormatting>
  <conditionalFormatting sqref="A98:C117 J98:L117">
    <cfRule type="expression" dxfId="1700" priority="88">
      <formula>AND($K98 &gt; 0, ISNUMBER($K98))</formula>
    </cfRule>
    <cfRule type="expression" dxfId="1699" priority="89">
      <formula>AND($K98 = 0 * ISNUMBER($K98))</formula>
    </cfRule>
    <cfRule type="expression" dxfId="1698" priority="90">
      <formula>AND($K98 &lt; 0, ISNUMBER($K98))</formula>
    </cfRule>
  </conditionalFormatting>
  <conditionalFormatting sqref="D96:F97 E118:F118">
    <cfRule type="expression" dxfId="1697" priority="82">
      <formula>$E$118 &gt; 0</formula>
    </cfRule>
    <cfRule type="expression" dxfId="1696" priority="83">
      <formula>$E$118 = 0</formula>
    </cfRule>
    <cfRule type="expression" dxfId="1695" priority="84">
      <formula>$E$118 &lt; 0</formula>
    </cfRule>
  </conditionalFormatting>
  <conditionalFormatting sqref="G96:I97 H118:I118">
    <cfRule type="expression" dxfId="1694" priority="79">
      <formula>$H$118 &gt; 0</formula>
    </cfRule>
    <cfRule type="expression" dxfId="1693" priority="80">
      <formula>$H$118 = 0</formula>
    </cfRule>
    <cfRule type="expression" dxfId="1692" priority="81">
      <formula>$H$118 &lt; 0</formula>
    </cfRule>
  </conditionalFormatting>
  <conditionalFormatting sqref="J96:L97 K118:L118">
    <cfRule type="expression" dxfId="1691" priority="76">
      <formula>$K$118 &gt; 0</formula>
    </cfRule>
    <cfRule type="expression" dxfId="1690" priority="77">
      <formula>$K$118 = 0</formula>
    </cfRule>
    <cfRule type="expression" dxfId="1689" priority="78">
      <formula>$K$118 &lt; 0</formula>
    </cfRule>
  </conditionalFormatting>
  <conditionalFormatting sqref="M96:O97 N118:O118">
    <cfRule type="expression" dxfId="1688" priority="73">
      <formula>$N$118 &gt; 0</formula>
    </cfRule>
    <cfRule type="expression" dxfId="1687" priority="74">
      <formula>$N$118 = 0</formula>
    </cfRule>
    <cfRule type="expression" dxfId="1686" priority="75">
      <formula>$N$118 &lt; 0</formula>
    </cfRule>
  </conditionalFormatting>
  <conditionalFormatting sqref="A125:C144 M125:O144">
    <cfRule type="expression" dxfId="1685" priority="61">
      <formula>AND($N125 &gt; 0, ISNUMBER($N125))</formula>
    </cfRule>
    <cfRule type="expression" dxfId="1684" priority="62">
      <formula>AND($N125 = 0 * ISNUMBER($N125))</formula>
    </cfRule>
    <cfRule type="expression" dxfId="1683" priority="63">
      <formula>AND($N125 &lt; 0, ISNUMBER($N125))</formula>
    </cfRule>
  </conditionalFormatting>
  <conditionalFormatting sqref="A125:F144">
    <cfRule type="expression" dxfId="1682" priority="70">
      <formula>AND($E125 &gt; 0, ISNUMBER($E125))</formula>
    </cfRule>
    <cfRule type="expression" dxfId="1681" priority="71">
      <formula>AND($E125 = 0 * ISNUMBER($E125))</formula>
    </cfRule>
    <cfRule type="expression" dxfId="1680" priority="72">
      <formula>AND($E125 &lt; 0, ISNUMBER($E125))</formula>
    </cfRule>
  </conditionalFormatting>
  <conditionalFormatting sqref="A125:C144 G125:I144">
    <cfRule type="expression" dxfId="1679" priority="67">
      <formula>AND($H125 &gt; 0, ISNUMBER($H125))</formula>
    </cfRule>
    <cfRule type="expression" dxfId="1678" priority="68">
      <formula>AND($H125 = 0 * ISNUMBER($H125))</formula>
    </cfRule>
    <cfRule type="expression" dxfId="1677" priority="69">
      <formula>AND($H125 &lt; 0, ISNUMBER($H125))</formula>
    </cfRule>
  </conditionalFormatting>
  <conditionalFormatting sqref="A125:C144 J125:L144">
    <cfRule type="expression" dxfId="1676" priority="64">
      <formula>AND($K125 &gt; 0, ISNUMBER($K125))</formula>
    </cfRule>
    <cfRule type="expression" dxfId="1675" priority="65">
      <formula>AND($K125 = 0 * ISNUMBER($K125))</formula>
    </cfRule>
    <cfRule type="expression" dxfId="1674" priority="66">
      <formula>AND($K125 &lt; 0, ISNUMBER($K125))</formula>
    </cfRule>
  </conditionalFormatting>
  <conditionalFormatting sqref="D123:F124 E145:F145">
    <cfRule type="expression" dxfId="1673" priority="58">
      <formula>$E$145 &gt; 0</formula>
    </cfRule>
    <cfRule type="expression" dxfId="1672" priority="59">
      <formula>$E$145 = 0</formula>
    </cfRule>
    <cfRule type="expression" dxfId="1671" priority="60">
      <formula>$E$145 &lt; 0</formula>
    </cfRule>
  </conditionalFormatting>
  <conditionalFormatting sqref="G123:I124 H145:I145">
    <cfRule type="expression" dxfId="1670" priority="55">
      <formula>$H$145 &gt; 0</formula>
    </cfRule>
    <cfRule type="expression" dxfId="1669" priority="56">
      <formula>$H$145 = 0</formula>
    </cfRule>
    <cfRule type="expression" dxfId="1668" priority="57">
      <formula>$H$145 &lt; 0</formula>
    </cfRule>
  </conditionalFormatting>
  <conditionalFormatting sqref="J123:L124 K145:L145">
    <cfRule type="expression" dxfId="1667" priority="52">
      <formula>$K$145 &gt; 0</formula>
    </cfRule>
    <cfRule type="expression" dxfId="1666" priority="53">
      <formula>$K$145 = 0</formula>
    </cfRule>
    <cfRule type="expression" dxfId="1665" priority="54">
      <formula>$K$145 &lt; 0</formula>
    </cfRule>
  </conditionalFormatting>
  <conditionalFormatting sqref="M123:O124 N145:O145">
    <cfRule type="expression" dxfId="1664" priority="49">
      <formula>$N$145 &gt; 0</formula>
    </cfRule>
    <cfRule type="expression" dxfId="1663" priority="50">
      <formula>$N$145 = 0</formula>
    </cfRule>
    <cfRule type="expression" dxfId="1662" priority="51">
      <formula>$N$145 &lt; 0</formula>
    </cfRule>
  </conditionalFormatting>
  <conditionalFormatting sqref="A152:C171 M152:O171">
    <cfRule type="expression" dxfId="1661" priority="37">
      <formula>AND($N152 &gt; 0, ISNUMBER($N152))</formula>
    </cfRule>
    <cfRule type="expression" dxfId="1660" priority="38">
      <formula>AND($N152 = 0 * ISNUMBER($N152))</formula>
    </cfRule>
    <cfRule type="expression" dxfId="1659" priority="39">
      <formula>AND($N152 &lt; 0, ISNUMBER($N152))</formula>
    </cfRule>
  </conditionalFormatting>
  <conditionalFormatting sqref="A152:F171">
    <cfRule type="expression" dxfId="1658" priority="46">
      <formula>AND($E152 &gt; 0, ISNUMBER($E152))</formula>
    </cfRule>
    <cfRule type="expression" dxfId="1657" priority="47">
      <formula>AND($E152 = 0 * ISNUMBER($E152))</formula>
    </cfRule>
    <cfRule type="expression" dxfId="1656" priority="48">
      <formula>AND($E152 &lt; 0, ISNUMBER($E152))</formula>
    </cfRule>
  </conditionalFormatting>
  <conditionalFormatting sqref="A152:C171 G152:I171">
    <cfRule type="expression" dxfId="1655" priority="43">
      <formula>AND($H152 &gt; 0, ISNUMBER($H152))</formula>
    </cfRule>
    <cfRule type="expression" dxfId="1654" priority="44">
      <formula>AND($H152 = 0 * ISNUMBER($H152))</formula>
    </cfRule>
    <cfRule type="expression" dxfId="1653" priority="45">
      <formula>AND($H152 &lt; 0, ISNUMBER($H152))</formula>
    </cfRule>
  </conditionalFormatting>
  <conditionalFormatting sqref="A152:C171 J152:L171">
    <cfRule type="expression" dxfId="1652" priority="40">
      <formula>AND($K152 &gt; 0, ISNUMBER($K152))</formula>
    </cfRule>
    <cfRule type="expression" dxfId="1651" priority="41">
      <formula>AND($K152 = 0 * ISNUMBER($K152))</formula>
    </cfRule>
    <cfRule type="expression" dxfId="1650" priority="42">
      <formula>AND($K152 &lt; 0, ISNUMBER($K152))</formula>
    </cfRule>
  </conditionalFormatting>
  <conditionalFormatting sqref="D150:F151 E172:F172">
    <cfRule type="expression" dxfId="1649" priority="34">
      <formula>$E$172 &gt; 0</formula>
    </cfRule>
    <cfRule type="expression" dxfId="1648" priority="35">
      <formula>$E$172 = 0</formula>
    </cfRule>
    <cfRule type="expression" dxfId="1647" priority="36">
      <formula>$E$172 &lt; 0</formula>
    </cfRule>
  </conditionalFormatting>
  <conditionalFormatting sqref="G150:I151 H172:I172">
    <cfRule type="expression" dxfId="1646" priority="31">
      <formula>$H$172 &gt; 0</formula>
    </cfRule>
    <cfRule type="expression" dxfId="1645" priority="32">
      <formula>$H$172 = 0</formula>
    </cfRule>
    <cfRule type="expression" dxfId="1644" priority="33">
      <formula>$H$172 &lt; 0</formula>
    </cfRule>
  </conditionalFormatting>
  <conditionalFormatting sqref="J150:L151 K172:L172">
    <cfRule type="expression" dxfId="1643" priority="28">
      <formula>$K$172 &gt; 0</formula>
    </cfRule>
    <cfRule type="expression" dxfId="1642" priority="29">
      <formula>$K$172 = 0</formula>
    </cfRule>
    <cfRule type="expression" dxfId="1641" priority="30">
      <formula>$K$172 &lt; 0</formula>
    </cfRule>
  </conditionalFormatting>
  <conditionalFormatting sqref="M150:O151 N172:O172">
    <cfRule type="expression" dxfId="1640" priority="25">
      <formula>$N$172 &gt; 0</formula>
    </cfRule>
    <cfRule type="expression" dxfId="1639" priority="26">
      <formula>$N$172 = 0</formula>
    </cfRule>
    <cfRule type="expression" dxfId="1638" priority="27">
      <formula>$N$172 &lt; 0</formula>
    </cfRule>
  </conditionalFormatting>
  <conditionalFormatting sqref="A179:C198 M179:O198">
    <cfRule type="expression" dxfId="1637" priority="13">
      <formula>AND($N179 &gt; 0, ISNUMBER($N179))</formula>
    </cfRule>
    <cfRule type="expression" dxfId="1636" priority="14">
      <formula>AND($N179 = 0 * ISNUMBER($N179))</formula>
    </cfRule>
    <cfRule type="expression" dxfId="1635" priority="15">
      <formula>AND($N179 &lt; 0, ISNUMBER($N179))</formula>
    </cfRule>
  </conditionalFormatting>
  <conditionalFormatting sqref="A179:F198">
    <cfRule type="expression" dxfId="1634" priority="22">
      <formula>AND($E179 &gt; 0, ISNUMBER($E179))</formula>
    </cfRule>
    <cfRule type="expression" dxfId="1633" priority="23">
      <formula>AND($E179 = 0 * ISNUMBER($E179))</formula>
    </cfRule>
    <cfRule type="expression" dxfId="1632" priority="24">
      <formula>AND($E179 &lt; 0, ISNUMBER($E179))</formula>
    </cfRule>
  </conditionalFormatting>
  <conditionalFormatting sqref="A179:C198 G179:I198">
    <cfRule type="expression" dxfId="1631" priority="19">
      <formula>AND($H179 &gt; 0, ISNUMBER($H179))</formula>
    </cfRule>
    <cfRule type="expression" dxfId="1630" priority="20">
      <formula>AND($H179 = 0 * ISNUMBER($H179))</formula>
    </cfRule>
    <cfRule type="expression" dxfId="1629" priority="21">
      <formula>AND($H179 &lt; 0, ISNUMBER($H179))</formula>
    </cfRule>
  </conditionalFormatting>
  <conditionalFormatting sqref="A179:C198 J179:L198">
    <cfRule type="expression" dxfId="1628" priority="16">
      <formula>AND($K179 &gt; 0, ISNUMBER($K179))</formula>
    </cfRule>
    <cfRule type="expression" dxfId="1627" priority="17">
      <formula>AND($K179 = 0 * ISNUMBER($K179))</formula>
    </cfRule>
    <cfRule type="expression" dxfId="1626" priority="18">
      <formula>AND($K179 &lt; 0, ISNUMBER($K179))</formula>
    </cfRule>
  </conditionalFormatting>
  <conditionalFormatting sqref="D177:F178 E199:F199">
    <cfRule type="expression" dxfId="1625" priority="10">
      <formula>$E$199 &gt; 0</formula>
    </cfRule>
    <cfRule type="expression" dxfId="1624" priority="11">
      <formula>$E$199 = 0</formula>
    </cfRule>
    <cfRule type="expression" dxfId="1623" priority="12">
      <formula>$E$199 &lt; 0</formula>
    </cfRule>
  </conditionalFormatting>
  <conditionalFormatting sqref="G177:I178 H199:I199">
    <cfRule type="expression" dxfId="1622" priority="7">
      <formula>$H$199 &gt; 0</formula>
    </cfRule>
    <cfRule type="expression" dxfId="1621" priority="8">
      <formula>$H$199 = 0</formula>
    </cfRule>
    <cfRule type="expression" dxfId="1620" priority="9">
      <formula>$H$199 &lt; 0</formula>
    </cfRule>
  </conditionalFormatting>
  <conditionalFormatting sqref="J177:L178 K199:L199">
    <cfRule type="expression" dxfId="1619" priority="4">
      <formula>$K$199 &gt; 0</formula>
    </cfRule>
    <cfRule type="expression" dxfId="1618" priority="5">
      <formula>$K$199 = 0</formula>
    </cfRule>
    <cfRule type="expression" dxfId="1617" priority="6">
      <formula>$K$199 &lt; 0</formula>
    </cfRule>
  </conditionalFormatting>
  <conditionalFormatting sqref="M177:O178 N199:O199">
    <cfRule type="expression" dxfId="1616" priority="1">
      <formula>$N$199 &gt; 0</formula>
    </cfRule>
    <cfRule type="expression" dxfId="1615" priority="2">
      <formula>$N$199 = 0</formula>
    </cfRule>
    <cfRule type="expression" dxfId="16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51C40-4DEF-4C18-AEC0-56E5A505D61F}">
  <sheetPr codeName="Sheet14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9" t="s">
        <v>0</v>
      </c>
      <c r="B1" s="250"/>
      <c r="C1" s="250"/>
      <c r="D1" s="250"/>
      <c r="E1" s="250"/>
      <c r="F1" s="251"/>
      <c r="G1" s="252">
        <v>44324</v>
      </c>
      <c r="H1" s="253"/>
      <c r="I1" s="254"/>
      <c r="J1" s="249" t="s">
        <v>1</v>
      </c>
      <c r="K1" s="250"/>
      <c r="L1" s="250"/>
      <c r="M1" s="250"/>
      <c r="N1" s="250"/>
      <c r="O1" s="251"/>
      <c r="Q1" s="249" t="s">
        <v>2</v>
      </c>
      <c r="R1" s="251"/>
    </row>
    <row r="2" spans="1:19" ht="17.25" customHeight="1">
      <c r="A2" s="116" t="s">
        <v>3</v>
      </c>
      <c r="B2" s="255" t="s">
        <v>4</v>
      </c>
      <c r="C2" s="256"/>
      <c r="D2" s="256"/>
      <c r="E2" s="256"/>
      <c r="F2" s="257"/>
      <c r="G2" s="258" t="s">
        <v>46</v>
      </c>
      <c r="H2" s="259"/>
      <c r="I2" s="260"/>
      <c r="J2" s="1" t="s">
        <v>3</v>
      </c>
      <c r="K2" s="255" t="s">
        <v>5</v>
      </c>
      <c r="L2" s="256"/>
      <c r="M2" s="256"/>
      <c r="N2" s="256"/>
      <c r="O2" s="257"/>
      <c r="Q2" s="2" t="s">
        <v>6</v>
      </c>
      <c r="R2" s="3">
        <v>0.375</v>
      </c>
    </row>
    <row r="3" spans="1:19" ht="17.25" customHeight="1" thickBot="1">
      <c r="A3" s="117" t="s">
        <v>7</v>
      </c>
      <c r="B3" s="261" t="s">
        <v>8</v>
      </c>
      <c r="C3" s="262"/>
      <c r="D3" s="262"/>
      <c r="E3" s="262"/>
      <c r="F3" s="263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-151,355 KRW (-5.05%)</v>
      </c>
      <c r="H3" s="265"/>
      <c r="I3" s="266"/>
      <c r="J3" s="4" t="s">
        <v>7</v>
      </c>
      <c r="K3" s="261" t="s">
        <v>9</v>
      </c>
      <c r="L3" s="262"/>
      <c r="M3" s="262"/>
      <c r="N3" s="262"/>
      <c r="O3" s="263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61" t="s">
        <v>12</v>
      </c>
      <c r="C4" s="262"/>
      <c r="D4" s="262"/>
      <c r="E4" s="262"/>
      <c r="F4" s="263"/>
      <c r="G4" s="258" t="s">
        <v>44</v>
      </c>
      <c r="H4" s="259"/>
      <c r="I4" s="260"/>
      <c r="J4" s="4" t="s">
        <v>11</v>
      </c>
      <c r="K4" s="261" t="s">
        <v>13</v>
      </c>
      <c r="L4" s="262"/>
      <c r="M4" s="262"/>
      <c r="N4" s="262"/>
      <c r="O4" s="263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61" t="s">
        <v>16</v>
      </c>
      <c r="C5" s="262"/>
      <c r="D5" s="262"/>
      <c r="E5" s="262"/>
      <c r="F5" s="263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-54,583 KRW (-1.92%)</v>
      </c>
      <c r="H5" s="265"/>
      <c r="I5" s="266"/>
      <c r="J5" s="4" t="s">
        <v>15</v>
      </c>
      <c r="K5" s="261" t="s">
        <v>17</v>
      </c>
      <c r="L5" s="262"/>
      <c r="M5" s="262"/>
      <c r="N5" s="262"/>
      <c r="O5" s="263"/>
    </row>
    <row r="6" spans="1:19">
      <c r="A6" s="117" t="s">
        <v>18</v>
      </c>
      <c r="B6" s="261" t="s">
        <v>19</v>
      </c>
      <c r="C6" s="262"/>
      <c r="D6" s="262"/>
      <c r="E6" s="262"/>
      <c r="F6" s="263"/>
      <c r="G6" s="258" t="s">
        <v>45</v>
      </c>
      <c r="H6" s="259"/>
      <c r="I6" s="260"/>
      <c r="J6" s="4" t="s">
        <v>18</v>
      </c>
      <c r="K6" s="261" t="s">
        <v>20</v>
      </c>
      <c r="L6" s="262"/>
      <c r="M6" s="262"/>
      <c r="N6" s="262"/>
      <c r="O6" s="263"/>
    </row>
    <row r="7" spans="1:19" ht="17.25" thickBot="1">
      <c r="A7" s="117" t="s">
        <v>21</v>
      </c>
      <c r="B7" s="261" t="s">
        <v>22</v>
      </c>
      <c r="C7" s="262"/>
      <c r="D7" s="262"/>
      <c r="E7" s="262"/>
      <c r="F7" s="263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-73,626 KRW (-2.45%)</v>
      </c>
      <c r="H7" s="265"/>
      <c r="I7" s="266"/>
      <c r="J7" s="4" t="s">
        <v>21</v>
      </c>
      <c r="K7" s="261" t="s">
        <v>375</v>
      </c>
      <c r="L7" s="262"/>
      <c r="M7" s="262"/>
      <c r="N7" s="262"/>
      <c r="O7" s="263"/>
    </row>
    <row r="8" spans="1:19" ht="17.25" thickBot="1">
      <c r="A8" s="117" t="s">
        <v>24</v>
      </c>
      <c r="B8" s="261" t="s">
        <v>25</v>
      </c>
      <c r="C8" s="262"/>
      <c r="D8" s="262"/>
      <c r="E8" s="262"/>
      <c r="F8" s="263"/>
      <c r="G8" s="258" t="s">
        <v>285</v>
      </c>
      <c r="H8" s="259"/>
      <c r="I8" s="260"/>
      <c r="J8" s="4" t="s">
        <v>24</v>
      </c>
      <c r="K8" s="261" t="s">
        <v>26</v>
      </c>
      <c r="L8" s="262"/>
      <c r="M8" s="262"/>
      <c r="N8" s="262"/>
      <c r="O8" s="263"/>
      <c r="Q8" s="249" t="s">
        <v>27</v>
      </c>
      <c r="R8" s="251"/>
    </row>
    <row r="9" spans="1:19" ht="17.25" thickBot="1">
      <c r="A9" s="117" t="s">
        <v>28</v>
      </c>
      <c r="B9" s="261"/>
      <c r="C9" s="262"/>
      <c r="D9" s="262"/>
      <c r="E9" s="262"/>
      <c r="F9" s="263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-59,835 KRW (-1.99%)</v>
      </c>
      <c r="H9" s="265"/>
      <c r="I9" s="266"/>
      <c r="J9" s="4" t="s">
        <v>28</v>
      </c>
      <c r="K9" s="261" t="s">
        <v>293</v>
      </c>
      <c r="L9" s="262"/>
      <c r="M9" s="262"/>
      <c r="N9" s="262"/>
      <c r="O9" s="263"/>
      <c r="Q9" s="2" t="s">
        <v>29</v>
      </c>
      <c r="R9" s="6">
        <v>10</v>
      </c>
    </row>
    <row r="10" spans="1:19">
      <c r="A10" s="117" t="s">
        <v>30</v>
      </c>
      <c r="B10" s="261"/>
      <c r="C10" s="262"/>
      <c r="D10" s="262"/>
      <c r="E10" s="262"/>
      <c r="F10" s="263"/>
      <c r="G10" s="258" t="s">
        <v>47</v>
      </c>
      <c r="H10" s="259"/>
      <c r="I10" s="260"/>
      <c r="J10" s="4" t="s">
        <v>30</v>
      </c>
      <c r="K10" s="261"/>
      <c r="L10" s="262"/>
      <c r="M10" s="262"/>
      <c r="N10" s="262"/>
      <c r="O10" s="263"/>
      <c r="Q10" s="2" t="s">
        <v>31</v>
      </c>
      <c r="R10" s="6">
        <v>100</v>
      </c>
    </row>
    <row r="11" spans="1:19" ht="17.25" thickBot="1">
      <c r="A11" s="118" t="s">
        <v>32</v>
      </c>
      <c r="B11" s="267"/>
      <c r="C11" s="268"/>
      <c r="D11" s="268"/>
      <c r="E11" s="268"/>
      <c r="F11" s="269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-95,658 KRW (-3.19%)</v>
      </c>
      <c r="H11" s="265"/>
      <c r="I11" s="266"/>
      <c r="J11" s="7" t="s">
        <v>32</v>
      </c>
      <c r="K11" s="267"/>
      <c r="L11" s="268"/>
      <c r="M11" s="268"/>
      <c r="N11" s="268"/>
      <c r="O11" s="269"/>
      <c r="Q11" s="61" t="s">
        <v>33</v>
      </c>
      <c r="R11" s="8">
        <v>1000</v>
      </c>
    </row>
    <row r="12" spans="1:19" ht="17.25" thickBot="1"/>
    <row r="13" spans="1:19" ht="17.25" customHeight="1" thickBot="1">
      <c r="A13" s="249" t="s">
        <v>34</v>
      </c>
      <c r="B13" s="250"/>
      <c r="C13" s="250"/>
      <c r="D13" s="250"/>
      <c r="E13" s="250"/>
      <c r="F13" s="250"/>
      <c r="G13" s="250"/>
      <c r="H13" s="250"/>
      <c r="I13" s="250"/>
      <c r="J13" s="250"/>
      <c r="K13" s="250"/>
      <c r="L13" s="250"/>
      <c r="M13" s="250"/>
      <c r="N13" s="250"/>
      <c r="O13" s="251"/>
      <c r="Q13" s="270"/>
      <c r="R13" s="270"/>
      <c r="S13" s="270"/>
    </row>
    <row r="14" spans="1:19" ht="17.25" customHeight="1" thickBot="1">
      <c r="A14" s="167" t="s">
        <v>35</v>
      </c>
      <c r="B14" s="249" t="s">
        <v>36</v>
      </c>
      <c r="C14" s="251"/>
      <c r="D14" s="249" t="s">
        <v>37</v>
      </c>
      <c r="E14" s="250"/>
      <c r="F14" s="251"/>
      <c r="G14" s="276">
        <f>_xlfn.IFNA(VLOOKUP(B14, 현재가테이블!$B$2:$D$200, 2, FALSE), "-")</f>
        <v>60874000</v>
      </c>
      <c r="H14" s="277"/>
      <c r="I14" s="278"/>
      <c r="J14" s="249" t="s">
        <v>38</v>
      </c>
      <c r="K14" s="250"/>
      <c r="L14" s="251"/>
      <c r="M14" s="279">
        <f>_xlfn.IFNA(VLOOKUP(B14, 현재가테이블!$B$2:$D$200, 3, FALSE), "-")</f>
        <v>-1.4936000099999999E-2</v>
      </c>
      <c r="N14" s="280"/>
      <c r="O14" s="281"/>
      <c r="Q14" s="270"/>
      <c r="R14" s="270"/>
      <c r="S14" s="270"/>
    </row>
    <row r="15" spans="1:19" ht="17.25" customHeight="1" thickBot="1">
      <c r="A15" s="314" t="s">
        <v>39</v>
      </c>
      <c r="B15" s="315" t="str">
        <f>TEXT($G$1, "[$-ko-KR]yyyy-mm-dd(ddd) ") &amp; "오전 00:00"</f>
        <v>2021-05-08(토) 오전 00:00</v>
      </c>
      <c r="C15" s="316"/>
      <c r="D15" s="272" t="str">
        <f>TEXT($G$1, "[$-ko-KR]yyyy-mm-dd(ddd) ") &amp; "오후 14:00"</f>
        <v>2021-05-08(토) 오후 14:00</v>
      </c>
      <c r="E15" s="273"/>
      <c r="F15" s="274"/>
      <c r="G15" s="272" t="str">
        <f>TEXT($G$1, "[$-ko-KR]yyyy-mm-dd(ddd) ") &amp; "오후 19:00"</f>
        <v>2021-05-08(토) 오후 19:00</v>
      </c>
      <c r="H15" s="273"/>
      <c r="I15" s="274"/>
      <c r="J15" s="272" t="str">
        <f>TEXT($G$1, "[$-ko-KR]yyyy-mm-dd(ddd) ") &amp; "오후 21:00"</f>
        <v>2021-05-08(토) 오후 21:00</v>
      </c>
      <c r="K15" s="273"/>
      <c r="L15" s="274"/>
      <c r="M15" s="272" t="str">
        <f>TEXT($G$1+1, "[$-ko-KR]yyyy-mm-dd(ddd) ") &amp; "오전 00:00"</f>
        <v>2021-05-09(일) 오전 00:00</v>
      </c>
      <c r="N15" s="273"/>
      <c r="O15" s="274"/>
      <c r="Q15" s="270"/>
      <c r="R15" s="270"/>
      <c r="S15" s="270"/>
    </row>
    <row r="16" spans="1:19" ht="17.25" customHeight="1" thickBot="1">
      <c r="A16" s="314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8" t="s">
        <v>37</v>
      </c>
      <c r="H16" s="169" t="s">
        <v>40</v>
      </c>
      <c r="I16" s="17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75"/>
      <c r="R16" s="275"/>
      <c r="S16" s="275"/>
    </row>
    <row r="17" spans="1:19" ht="17.25" customHeight="1" thickBot="1">
      <c r="A17" s="122" t="s">
        <v>355</v>
      </c>
      <c r="B17" s="123">
        <f>IF(NOT(ISBLANK(_xlfn.IFNA(VLOOKUP($A17, $A$40:$O$199, 2, FALSE), ))), _xlfn.IFNA(VLOOKUP($A17, $A$40:$O$199, 2, FALSE), ), "")</f>
        <v>13180</v>
      </c>
      <c r="C17" s="72">
        <f>IF(NOT(ISBLANK(_xlfn.IFNA(VLOOKUP($A17, $A$40:$O$199, 3, FALSE), ))), _xlfn.IFNA(VLOOKUP($A17, $A$40:$O$199, 3, FALSE), ), "")</f>
        <v>0.55884092249999995</v>
      </c>
      <c r="D17" s="13">
        <f>IF(NOT(ISBLANK(_xlfn.IFNA(VLOOKUP($A17, $A$40:$O$199, 4, FALSE), ))), _xlfn.IFNA(VLOOKUP($A17, $A$40:$O$199, 4, FALSE), ), "")</f>
        <v>10590</v>
      </c>
      <c r="E17" s="14">
        <f>IF(NOT(ISBLANK(_xlfn.IFNA(VLOOKUP($A17, $A$40:$O$199, 5, FALSE), ))), _xlfn.IFNA(VLOOKUP($A17, $A$40:$O$199, 5, FALSE), ), "")</f>
        <v>-0.19650986342943855</v>
      </c>
      <c r="F17" s="16">
        <f>IF(NOT(ISBLANK(_xlfn.IFNA(VLOOKUP($A17, $A$40:$O$199, 6, FALSE), ))), _xlfn.IFNA(VLOOKUP($A17, $A$40:$O$199, 6, FALSE), ), "")</f>
        <v>-29476.479514415783</v>
      </c>
      <c r="G17" s="29">
        <f>IF(NOT(ISBLANK(_xlfn.IFNA(VLOOKUP($A17, $A$40:$O$199, 7, FALSE), ))), _xlfn.IFNA(VLOOKUP($A17, $A$40:$O$199, 7, FALSE), ), "")</f>
        <v>10660</v>
      </c>
      <c r="H17" s="14">
        <f>IF(NOT(ISBLANK(_xlfn.IFNA(VLOOKUP($A17, $A$40:$O$199, 8, FALSE), ))), _xlfn.IFNA(VLOOKUP($A17, $A$40:$O$199, 8, FALSE), ), "")</f>
        <v>-0.19119878603945373</v>
      </c>
      <c r="I17" s="96">
        <f>IF(NOT(ISBLANK(_xlfn.IFNA(VLOOKUP($A17, $A$40:$O$199, 9, FALSE), ))), _xlfn.IFNA(VLOOKUP($A17, $A$40:$O$199, 9, FALSE), ), "")</f>
        <v>-28679.817905918058</v>
      </c>
      <c r="J17" s="13">
        <f>IF(NOT(ISBLANK(_xlfn.IFNA(VLOOKUP($A17, $A$40:$O$199, 10, FALSE), ))), _xlfn.IFNA(VLOOKUP($A17, $A$40:$O$199, 10, FALSE), ), "")</f>
        <v>10490</v>
      </c>
      <c r="K17" s="14">
        <f>IF(NOT(ISBLANK(_xlfn.IFNA(VLOOKUP($A17, $A$40:$O$199, 11, FALSE), ))), _xlfn.IFNA(VLOOKUP($A17, $A$40:$O$199, 11, FALSE), ), "")</f>
        <v>-0.20409711684370258</v>
      </c>
      <c r="L17" s="16">
        <f>IF(NOT(ISBLANK(_xlfn.IFNA(VLOOKUP($A17, $A$40:$O$199, 12, FALSE), ))), _xlfn.IFNA(VLOOKUP($A17, $A$40:$O$199, 12, FALSE), ), "")</f>
        <v>-30614.567526555387</v>
      </c>
      <c r="M17" s="29">
        <f>IF(NOT(ISBLANK(_xlfn.IFNA(VLOOKUP($A17, $A$40:$O$199, 13, FALSE), ))), _xlfn.IFNA(VLOOKUP($A17, $A$40:$O$199, 13, FALSE), ), "")</f>
        <v>10390</v>
      </c>
      <c r="N17" s="14">
        <f>IF(NOT(ISBLANK(_xlfn.IFNA(VLOOKUP($A17, $A$40:$O$199, 14, FALSE), ))), _xlfn.IFNA(VLOOKUP($A17, $A$40:$O$199, 14, FALSE), ), "")</f>
        <v>-0.2116843702579666</v>
      </c>
      <c r="O17" s="16">
        <f>IF(NOT(ISBLANK(_xlfn.IFNA(VLOOKUP($A17, $A$40:$O$199, 15, FALSE), ))), _xlfn.IFNA(VLOOKUP($A17, $A$40:$O$199, 15, FALSE), ), "")</f>
        <v>-31752.655538694991</v>
      </c>
      <c r="Q17" s="270"/>
      <c r="R17" s="270"/>
      <c r="S17" s="270"/>
    </row>
    <row r="18" spans="1:19" ht="17.25" customHeight="1" thickBot="1">
      <c r="A18" s="124" t="s">
        <v>356</v>
      </c>
      <c r="B18" s="125">
        <f t="shared" ref="B18:B36" si="0">IF(NOT(ISBLANK(_xlfn.IFNA(VLOOKUP($A18, $A$40:$O$199, 2, FALSE), ))), _xlfn.IFNA(VLOOKUP($A18, $A$40:$O$199, 2, FALSE), ), "")</f>
        <v>273</v>
      </c>
      <c r="C18" s="73">
        <f t="shared" ref="C18:C36" si="1">IF(NOT(ISBLANK(_xlfn.IFNA(VLOOKUP($A18, $A$40:$O$199, 3, FALSE), ))), _xlfn.IFNA(VLOOKUP($A18, $A$40:$O$199, 3, FALSE), ), "")</f>
        <v>1.8656716399999999E-2</v>
      </c>
      <c r="D18" s="15">
        <f t="shared" ref="D18:D36" si="2">IF(NOT(ISBLANK(_xlfn.IFNA(VLOOKUP($A18, $A$40:$O$199, 4, FALSE), ))), _xlfn.IFNA(VLOOKUP($A18, $A$40:$O$199, 4, FALSE), ), "")</f>
        <v>276</v>
      </c>
      <c r="E18" s="32">
        <f t="shared" ref="E18:E36" si="3">IF(NOT(ISBLANK(_xlfn.IFNA(VLOOKUP($A18, $A$40:$O$199, 5, FALSE), ))), _xlfn.IFNA(VLOOKUP($A18, $A$40:$O$199, 5, FALSE), ), "")</f>
        <v>1.098901098901099E-2</v>
      </c>
      <c r="F18" s="18">
        <f t="shared" ref="F18:F36" si="4">IF(NOT(ISBLANK(_xlfn.IFNA(VLOOKUP($A18, $A$40:$O$199, 6, FALSE), ))), _xlfn.IFNA(VLOOKUP($A18, $A$40:$O$199, 6, FALSE), ), "")</f>
        <v>1648.3516483516485</v>
      </c>
      <c r="G18" s="31">
        <f t="shared" ref="G18:G36" si="5">IF(NOT(ISBLANK(_xlfn.IFNA(VLOOKUP($A18, $A$40:$O$199, 7, FALSE), ))), _xlfn.IFNA(VLOOKUP($A18, $A$40:$O$199, 7, FALSE), ), "")</f>
        <v>278</v>
      </c>
      <c r="H18" s="32">
        <f t="shared" ref="H18:H36" si="6">IF(NOT(ISBLANK(_xlfn.IFNA(VLOOKUP($A18, $A$40:$O$199, 8, FALSE), ))), _xlfn.IFNA(VLOOKUP($A18, $A$40:$O$199, 8, FALSE), ), "")</f>
        <v>1.8315018315018316E-2</v>
      </c>
      <c r="I18" s="97">
        <f t="shared" ref="I18:I36" si="7">IF(NOT(ISBLANK(_xlfn.IFNA(VLOOKUP($A18, $A$40:$O$199, 9, FALSE), ))), _xlfn.IFNA(VLOOKUP($A18, $A$40:$O$199, 9, FALSE), ), "")</f>
        <v>2747.2527472527472</v>
      </c>
      <c r="J18" s="15">
        <f t="shared" ref="J18:J36" si="8">IF(NOT(ISBLANK(_xlfn.IFNA(VLOOKUP($A18, $A$40:$O$199, 10, FALSE), ))), _xlfn.IFNA(VLOOKUP($A18, $A$40:$O$199, 10, FALSE), ), "")</f>
        <v>279</v>
      </c>
      <c r="K18" s="32">
        <f t="shared" ref="K18:K36" si="9">IF(NOT(ISBLANK(_xlfn.IFNA(VLOOKUP($A18, $A$40:$O$199, 11, FALSE), ))), _xlfn.IFNA(VLOOKUP($A18, $A$40:$O$199, 11, FALSE), ), "")</f>
        <v>2.197802197802198E-2</v>
      </c>
      <c r="L18" s="18">
        <f t="shared" ref="L18:L36" si="10">IF(NOT(ISBLANK(_xlfn.IFNA(VLOOKUP($A18, $A$40:$O$199, 12, FALSE), ))), _xlfn.IFNA(VLOOKUP($A18, $A$40:$O$199, 12, FALSE), ), "")</f>
        <v>3296.7032967032969</v>
      </c>
      <c r="M18" s="31">
        <f t="shared" ref="M18:M36" si="11">IF(NOT(ISBLANK(_xlfn.IFNA(VLOOKUP($A18, $A$40:$O$199, 13, FALSE), ))), _xlfn.IFNA(VLOOKUP($A18, $A$40:$O$199, 13, FALSE), ), "")</f>
        <v>276</v>
      </c>
      <c r="N18" s="32">
        <f t="shared" ref="N18:N36" si="12">IF(NOT(ISBLANK(_xlfn.IFNA(VLOOKUP($A18, $A$40:$O$199, 14, FALSE), ))), _xlfn.IFNA(VLOOKUP($A18, $A$40:$O$199, 14, FALSE), ), "")</f>
        <v>1.098901098901099E-2</v>
      </c>
      <c r="O18" s="18">
        <f t="shared" ref="O18:O36" si="13">IF(NOT(ISBLANK(_xlfn.IFNA(VLOOKUP($A18, $A$40:$O$199, 15, FALSE), ))), _xlfn.IFNA(VLOOKUP($A18, $A$40:$O$199, 15, FALSE), ), "")</f>
        <v>1648.3516483516485</v>
      </c>
      <c r="Q18" s="270"/>
      <c r="R18" s="270"/>
      <c r="S18" s="270"/>
    </row>
    <row r="19" spans="1:19" ht="17.25" customHeight="1" thickBot="1">
      <c r="A19" s="124" t="s">
        <v>303</v>
      </c>
      <c r="B19" s="125">
        <f t="shared" si="0"/>
        <v>166</v>
      </c>
      <c r="C19" s="73">
        <f t="shared" si="1"/>
        <v>9.2105263199999995E-2</v>
      </c>
      <c r="D19" s="15">
        <f t="shared" si="2"/>
        <v>164</v>
      </c>
      <c r="E19" s="32">
        <f t="shared" si="3"/>
        <v>-1.2048192771084338E-2</v>
      </c>
      <c r="F19" s="18">
        <f t="shared" si="4"/>
        <v>-1807.2289156626507</v>
      </c>
      <c r="G19" s="31">
        <f t="shared" si="5"/>
        <v>164</v>
      </c>
      <c r="H19" s="32">
        <f t="shared" si="6"/>
        <v>-1.2048192771084338E-2</v>
      </c>
      <c r="I19" s="97">
        <f t="shared" si="7"/>
        <v>-1807.2289156626507</v>
      </c>
      <c r="J19" s="15">
        <f t="shared" si="8"/>
        <v>163</v>
      </c>
      <c r="K19" s="32">
        <f t="shared" si="9"/>
        <v>-1.8072289156626505E-2</v>
      </c>
      <c r="L19" s="18">
        <f t="shared" si="10"/>
        <v>-2710.8433734939758</v>
      </c>
      <c r="M19" s="31">
        <f t="shared" si="11"/>
        <v>164</v>
      </c>
      <c r="N19" s="32">
        <f t="shared" si="12"/>
        <v>-1.2048192771084338E-2</v>
      </c>
      <c r="O19" s="18">
        <f t="shared" si="13"/>
        <v>-1807.2289156626507</v>
      </c>
      <c r="Q19" s="275"/>
      <c r="R19" s="275"/>
      <c r="S19" s="275"/>
    </row>
    <row r="20" spans="1:19" ht="17.25" customHeight="1" thickBot="1">
      <c r="A20" s="124" t="s">
        <v>357</v>
      </c>
      <c r="B20" s="125">
        <f t="shared" si="0"/>
        <v>34250</v>
      </c>
      <c r="C20" s="73">
        <f t="shared" si="1"/>
        <v>9.7404677999999995E-2</v>
      </c>
      <c r="D20" s="15">
        <f t="shared" si="2"/>
        <v>33600</v>
      </c>
      <c r="E20" s="32">
        <f t="shared" si="3"/>
        <v>-1.8978102189781021E-2</v>
      </c>
      <c r="F20" s="18">
        <f t="shared" si="4"/>
        <v>-2846.7153284671531</v>
      </c>
      <c r="G20" s="31">
        <f t="shared" si="5"/>
        <v>34940</v>
      </c>
      <c r="H20" s="32">
        <f t="shared" si="6"/>
        <v>2.0145985401459853E-2</v>
      </c>
      <c r="I20" s="97">
        <f t="shared" si="7"/>
        <v>3021.8978102189781</v>
      </c>
      <c r="J20" s="15">
        <f t="shared" si="8"/>
        <v>34710</v>
      </c>
      <c r="K20" s="32">
        <f t="shared" si="9"/>
        <v>1.3430656934306569E-2</v>
      </c>
      <c r="L20" s="18">
        <f t="shared" si="10"/>
        <v>2014.5985401459852</v>
      </c>
      <c r="M20" s="31">
        <f t="shared" si="11"/>
        <v>33780</v>
      </c>
      <c r="N20" s="32">
        <f t="shared" si="12"/>
        <v>-1.3722627737226278E-2</v>
      </c>
      <c r="O20" s="18">
        <f t="shared" si="13"/>
        <v>-2058.3941605839418</v>
      </c>
      <c r="Q20" s="275"/>
      <c r="R20" s="275"/>
      <c r="S20" s="275"/>
    </row>
    <row r="21" spans="1:19" ht="17.25" customHeight="1" thickBot="1">
      <c r="A21" s="126" t="s">
        <v>304</v>
      </c>
      <c r="B21" s="127">
        <f t="shared" si="0"/>
        <v>555</v>
      </c>
      <c r="C21" s="74">
        <f t="shared" si="1"/>
        <v>0.21179039299999999</v>
      </c>
      <c r="D21" s="20">
        <f t="shared" si="2"/>
        <v>491</v>
      </c>
      <c r="E21" s="21">
        <f t="shared" si="3"/>
        <v>-0.11531531531531532</v>
      </c>
      <c r="F21" s="22">
        <f t="shared" si="4"/>
        <v>-17297.297297297297</v>
      </c>
      <c r="G21" s="30">
        <f t="shared" si="5"/>
        <v>525</v>
      </c>
      <c r="H21" s="21">
        <f t="shared" si="6"/>
        <v>-5.4054054054054057E-2</v>
      </c>
      <c r="I21" s="101">
        <f t="shared" si="7"/>
        <v>-8108.1081081081084</v>
      </c>
      <c r="J21" s="20">
        <f t="shared" si="8"/>
        <v>515</v>
      </c>
      <c r="K21" s="21">
        <f t="shared" si="9"/>
        <v>-7.2072072072072071E-2</v>
      </c>
      <c r="L21" s="22">
        <f t="shared" si="10"/>
        <v>-10810.81081081081</v>
      </c>
      <c r="M21" s="30">
        <f t="shared" si="11"/>
        <v>508</v>
      </c>
      <c r="N21" s="21">
        <f t="shared" si="12"/>
        <v>-8.468468468468468E-2</v>
      </c>
      <c r="O21" s="22">
        <f t="shared" si="13"/>
        <v>-12702.702702702702</v>
      </c>
      <c r="Q21" s="275"/>
      <c r="R21" s="275"/>
      <c r="S21" s="275"/>
    </row>
    <row r="22" spans="1:19" ht="17.25" customHeight="1" thickBot="1">
      <c r="A22" s="124" t="s">
        <v>358</v>
      </c>
      <c r="B22" s="128">
        <f t="shared" si="0"/>
        <v>3435</v>
      </c>
      <c r="C22" s="76">
        <f t="shared" si="1"/>
        <v>0.1336633663</v>
      </c>
      <c r="D22" s="102">
        <f t="shared" si="2"/>
        <v>3190</v>
      </c>
      <c r="E22" s="103">
        <f t="shared" si="3"/>
        <v>-7.132459970887918E-2</v>
      </c>
      <c r="F22" s="104">
        <f t="shared" si="4"/>
        <v>-10698.689956331877</v>
      </c>
      <c r="G22" s="105">
        <f t="shared" si="5"/>
        <v>3275</v>
      </c>
      <c r="H22" s="103">
        <f t="shared" si="6"/>
        <v>-4.6579330422125184E-2</v>
      </c>
      <c r="I22" s="106">
        <f t="shared" si="7"/>
        <v>-6986.8995633187778</v>
      </c>
      <c r="J22" s="102">
        <f t="shared" si="8"/>
        <v>3230</v>
      </c>
      <c r="K22" s="103">
        <f t="shared" si="9"/>
        <v>-5.9679767103347887E-2</v>
      </c>
      <c r="L22" s="104">
        <f t="shared" si="10"/>
        <v>-8951.9650655021833</v>
      </c>
      <c r="M22" s="105">
        <f t="shared" si="11"/>
        <v>3265</v>
      </c>
      <c r="N22" s="103">
        <f t="shared" si="12"/>
        <v>-4.9490538573508006E-2</v>
      </c>
      <c r="O22" s="104">
        <f t="shared" si="13"/>
        <v>-7423.5807860262012</v>
      </c>
      <c r="Q22" s="275"/>
      <c r="R22" s="275"/>
      <c r="S22" s="275"/>
    </row>
    <row r="23" spans="1:19" ht="17.25" customHeight="1" thickBot="1">
      <c r="A23" s="124" t="s">
        <v>359</v>
      </c>
      <c r="B23" s="125">
        <f t="shared" si="0"/>
        <v>3310</v>
      </c>
      <c r="C23" s="73">
        <f t="shared" si="1"/>
        <v>0.26335877860000001</v>
      </c>
      <c r="D23" s="15">
        <f t="shared" si="2"/>
        <v>2875</v>
      </c>
      <c r="E23" s="32">
        <f t="shared" si="3"/>
        <v>-0.13141993957703926</v>
      </c>
      <c r="F23" s="18">
        <f t="shared" si="4"/>
        <v>-19712.990936555889</v>
      </c>
      <c r="G23" s="31">
        <f t="shared" si="5"/>
        <v>3065</v>
      </c>
      <c r="H23" s="32">
        <f t="shared" si="6"/>
        <v>-7.4018126888217517E-2</v>
      </c>
      <c r="I23" s="97">
        <f t="shared" si="7"/>
        <v>-11102.719033232628</v>
      </c>
      <c r="J23" s="15">
        <f t="shared" si="8"/>
        <v>3055</v>
      </c>
      <c r="K23" s="32">
        <f t="shared" si="9"/>
        <v>-7.7039274924471296E-2</v>
      </c>
      <c r="L23" s="18">
        <f t="shared" si="10"/>
        <v>-11555.891238670694</v>
      </c>
      <c r="M23" s="31">
        <f t="shared" si="11"/>
        <v>3045</v>
      </c>
      <c r="N23" s="32">
        <f t="shared" si="12"/>
        <v>-8.0060422960725075E-2</v>
      </c>
      <c r="O23" s="18">
        <f t="shared" si="13"/>
        <v>-12009.06344410876</v>
      </c>
      <c r="Q23" s="275"/>
      <c r="R23" s="275"/>
      <c r="S23" s="275"/>
    </row>
    <row r="24" spans="1:19" ht="17.25" customHeight="1" thickBot="1">
      <c r="A24" s="124" t="s">
        <v>360</v>
      </c>
      <c r="B24" s="125">
        <f t="shared" si="0"/>
        <v>28.1</v>
      </c>
      <c r="C24" s="73">
        <f t="shared" si="1"/>
        <v>7.1684588000000002E-3</v>
      </c>
      <c r="D24" s="15">
        <f t="shared" si="2"/>
        <v>27.8</v>
      </c>
      <c r="E24" s="32">
        <f t="shared" si="3"/>
        <v>-1.0676156583629918E-2</v>
      </c>
      <c r="F24" s="18">
        <f t="shared" si="4"/>
        <v>-1601.4234875444877</v>
      </c>
      <c r="G24" s="31">
        <f t="shared" si="5"/>
        <v>27.9</v>
      </c>
      <c r="H24" s="32">
        <f t="shared" si="6"/>
        <v>-7.1174377224200299E-3</v>
      </c>
      <c r="I24" s="97">
        <f t="shared" si="7"/>
        <v>-1067.6156583630045</v>
      </c>
      <c r="J24" s="15">
        <f t="shared" si="8"/>
        <v>27.9</v>
      </c>
      <c r="K24" s="32">
        <f t="shared" si="9"/>
        <v>-7.1174377224200299E-3</v>
      </c>
      <c r="L24" s="18">
        <f t="shared" si="10"/>
        <v>-1067.6156583630045</v>
      </c>
      <c r="M24" s="31">
        <f t="shared" si="11"/>
        <v>27.7</v>
      </c>
      <c r="N24" s="32">
        <f t="shared" si="12"/>
        <v>-1.4234875444839933E-2</v>
      </c>
      <c r="O24" s="18">
        <f t="shared" si="13"/>
        <v>-2135.2313167259899</v>
      </c>
      <c r="Q24" s="275"/>
      <c r="R24" s="275"/>
      <c r="S24" s="275"/>
    </row>
    <row r="25" spans="1:19" ht="17.25" customHeight="1" thickBot="1">
      <c r="A25" s="124" t="s">
        <v>361</v>
      </c>
      <c r="B25" s="125">
        <f t="shared" si="0"/>
        <v>263</v>
      </c>
      <c r="C25" s="73">
        <f t="shared" si="1"/>
        <v>5.1999999999999998E-2</v>
      </c>
      <c r="D25" s="15">
        <f t="shared" si="2"/>
        <v>260</v>
      </c>
      <c r="E25" s="32">
        <f t="shared" si="3"/>
        <v>-1.1406844106463879E-2</v>
      </c>
      <c r="F25" s="18">
        <f t="shared" si="4"/>
        <v>-1711.0266159695818</v>
      </c>
      <c r="G25" s="31">
        <f t="shared" si="5"/>
        <v>261</v>
      </c>
      <c r="H25" s="32">
        <f t="shared" si="6"/>
        <v>-7.6045627376425855E-3</v>
      </c>
      <c r="I25" s="97">
        <f t="shared" si="7"/>
        <v>-1140.6844106463877</v>
      </c>
      <c r="J25" s="15">
        <f t="shared" si="8"/>
        <v>262</v>
      </c>
      <c r="K25" s="32">
        <f t="shared" si="9"/>
        <v>-3.8022813688212928E-3</v>
      </c>
      <c r="L25" s="18">
        <f t="shared" si="10"/>
        <v>-570.34220532319387</v>
      </c>
      <c r="M25" s="31">
        <f t="shared" si="11"/>
        <v>260</v>
      </c>
      <c r="N25" s="32">
        <f t="shared" si="12"/>
        <v>-1.1406844106463879E-2</v>
      </c>
      <c r="O25" s="18">
        <f t="shared" si="13"/>
        <v>-1711.0266159695818</v>
      </c>
      <c r="Q25" s="33"/>
      <c r="R25" s="33"/>
    </row>
    <row r="26" spans="1:19" ht="17.25" customHeight="1" thickBot="1">
      <c r="A26" s="129" t="s">
        <v>362</v>
      </c>
      <c r="B26" s="130">
        <f t="shared" si="0"/>
        <v>5730</v>
      </c>
      <c r="C26" s="75">
        <f t="shared" si="1"/>
        <v>0.23491379309999999</v>
      </c>
      <c r="D26" s="24">
        <f t="shared" si="2"/>
        <v>4975</v>
      </c>
      <c r="E26" s="25">
        <f t="shared" si="3"/>
        <v>-0.13176265270506107</v>
      </c>
      <c r="F26" s="100">
        <f t="shared" si="4"/>
        <v>-19764.39790575916</v>
      </c>
      <c r="G26" s="98">
        <f t="shared" si="5"/>
        <v>5430</v>
      </c>
      <c r="H26" s="25">
        <f t="shared" si="6"/>
        <v>-5.2356020942408377E-2</v>
      </c>
      <c r="I26" s="99">
        <f t="shared" si="7"/>
        <v>-7853.4031413612565</v>
      </c>
      <c r="J26" s="24">
        <f t="shared" si="8"/>
        <v>5560</v>
      </c>
      <c r="K26" s="25">
        <f t="shared" si="9"/>
        <v>-2.9668411867364748E-2</v>
      </c>
      <c r="L26" s="100">
        <f t="shared" si="10"/>
        <v>-4450.2617801047127</v>
      </c>
      <c r="M26" s="98">
        <f t="shared" si="11"/>
        <v>5600</v>
      </c>
      <c r="N26" s="25">
        <f t="shared" si="12"/>
        <v>-2.2687609075043629E-2</v>
      </c>
      <c r="O26" s="100">
        <f t="shared" si="13"/>
        <v>-3403.1413612565443</v>
      </c>
      <c r="Q26" s="284"/>
      <c r="R26" s="285"/>
      <c r="S26" s="286"/>
    </row>
    <row r="27" spans="1:19" ht="17.25" customHeight="1">
      <c r="A27" s="122" t="s">
        <v>363</v>
      </c>
      <c r="B27" s="123">
        <f t="shared" si="0"/>
        <v>20.8</v>
      </c>
      <c r="C27" s="72">
        <f t="shared" si="1"/>
        <v>4.8309179000000004E-3</v>
      </c>
      <c r="D27" s="13">
        <f t="shared" si="2"/>
        <v>20.6</v>
      </c>
      <c r="E27" s="14">
        <f t="shared" si="3"/>
        <v>-9.6153846153845812E-3</v>
      </c>
      <c r="F27" s="16">
        <f t="shared" si="4"/>
        <v>-1442.3076923076871</v>
      </c>
      <c r="G27" s="29">
        <f t="shared" si="5"/>
        <v>20.9</v>
      </c>
      <c r="H27" s="14">
        <f t="shared" si="6"/>
        <v>4.8076923076922047E-3</v>
      </c>
      <c r="I27" s="96">
        <f t="shared" si="7"/>
        <v>721.15384615383073</v>
      </c>
      <c r="J27" s="13">
        <f t="shared" si="8"/>
        <v>20.8</v>
      </c>
      <c r="K27" s="14">
        <f t="shared" si="9"/>
        <v>0</v>
      </c>
      <c r="L27" s="16">
        <f t="shared" si="10"/>
        <v>0</v>
      </c>
      <c r="M27" s="29">
        <f t="shared" si="11"/>
        <v>21.5</v>
      </c>
      <c r="N27" s="14">
        <f t="shared" si="12"/>
        <v>3.3653846153846118E-2</v>
      </c>
      <c r="O27" s="16">
        <f t="shared" si="13"/>
        <v>5048.0769230769174</v>
      </c>
      <c r="Q27" s="287"/>
      <c r="R27" s="288"/>
      <c r="S27" s="289"/>
    </row>
    <row r="28" spans="1:19" ht="17.25" customHeight="1" thickBot="1">
      <c r="A28" s="124" t="s">
        <v>364</v>
      </c>
      <c r="B28" s="125">
        <f t="shared" si="0"/>
        <v>176</v>
      </c>
      <c r="C28" s="73">
        <f t="shared" si="1"/>
        <v>4.1420118300000003E-2</v>
      </c>
      <c r="D28" s="15">
        <f t="shared" si="2"/>
        <v>181</v>
      </c>
      <c r="E28" s="32">
        <f t="shared" si="3"/>
        <v>2.8409090909090908E-2</v>
      </c>
      <c r="F28" s="18">
        <f t="shared" si="4"/>
        <v>4261.363636363636</v>
      </c>
      <c r="G28" s="31">
        <f t="shared" si="5"/>
        <v>181</v>
      </c>
      <c r="H28" s="32">
        <f t="shared" si="6"/>
        <v>2.8409090909090908E-2</v>
      </c>
      <c r="I28" s="97">
        <f t="shared" si="7"/>
        <v>4261.363636363636</v>
      </c>
      <c r="J28" s="15">
        <f t="shared" si="8"/>
        <v>181</v>
      </c>
      <c r="K28" s="32">
        <f t="shared" si="9"/>
        <v>2.8409090909090908E-2</v>
      </c>
      <c r="L28" s="18">
        <f t="shared" si="10"/>
        <v>4261.363636363636</v>
      </c>
      <c r="M28" s="31">
        <f t="shared" si="11"/>
        <v>183</v>
      </c>
      <c r="N28" s="32">
        <f t="shared" si="12"/>
        <v>3.9772727272727272E-2</v>
      </c>
      <c r="O28" s="18">
        <f t="shared" si="13"/>
        <v>5965.909090909091</v>
      </c>
      <c r="Q28" s="290"/>
      <c r="R28" s="291"/>
      <c r="S28" s="292"/>
    </row>
    <row r="29" spans="1:19" ht="17.25" customHeight="1" thickBot="1">
      <c r="A29" s="124" t="s">
        <v>365</v>
      </c>
      <c r="B29" s="125">
        <f t="shared" si="0"/>
        <v>18.899999999999999</v>
      </c>
      <c r="C29" s="73">
        <f t="shared" si="1"/>
        <v>2.7173913000000001E-2</v>
      </c>
      <c r="D29" s="15">
        <f t="shared" si="2"/>
        <v>18.5</v>
      </c>
      <c r="E29" s="32">
        <f t="shared" si="3"/>
        <v>-2.116402116402109E-2</v>
      </c>
      <c r="F29" s="18">
        <f t="shared" si="4"/>
        <v>-3174.6031746031636</v>
      </c>
      <c r="G29" s="31">
        <f t="shared" si="5"/>
        <v>18.7</v>
      </c>
      <c r="H29" s="32">
        <f t="shared" si="6"/>
        <v>-1.0582010582010545E-2</v>
      </c>
      <c r="I29" s="97">
        <f t="shared" si="7"/>
        <v>-1587.3015873015818</v>
      </c>
      <c r="J29" s="15">
        <f t="shared" si="8"/>
        <v>18.7</v>
      </c>
      <c r="K29" s="32">
        <f t="shared" si="9"/>
        <v>-1.0582010582010545E-2</v>
      </c>
      <c r="L29" s="18">
        <f t="shared" si="10"/>
        <v>-1587.3015873015818</v>
      </c>
      <c r="M29" s="31">
        <f t="shared" si="11"/>
        <v>18.600000000000001</v>
      </c>
      <c r="N29" s="32">
        <f t="shared" si="12"/>
        <v>-1.5873015873015723E-2</v>
      </c>
      <c r="O29" s="18">
        <f t="shared" si="13"/>
        <v>-2380.9523809523585</v>
      </c>
      <c r="Q29" s="275"/>
      <c r="R29" s="275"/>
      <c r="S29" s="275"/>
    </row>
    <row r="30" spans="1:19" ht="17.25" customHeight="1" thickBot="1">
      <c r="A30" s="124" t="s">
        <v>366</v>
      </c>
      <c r="B30" s="125">
        <f t="shared" si="0"/>
        <v>29.1</v>
      </c>
      <c r="C30" s="73">
        <f t="shared" si="1"/>
        <v>4.3010752700000002E-2</v>
      </c>
      <c r="D30" s="15">
        <f t="shared" si="2"/>
        <v>27.8</v>
      </c>
      <c r="E30" s="32">
        <f t="shared" si="3"/>
        <v>-4.4673539518900365E-2</v>
      </c>
      <c r="F30" s="18">
        <f t="shared" si="4"/>
        <v>-6701.0309278350551</v>
      </c>
      <c r="G30" s="31">
        <f t="shared" si="5"/>
        <v>27.8</v>
      </c>
      <c r="H30" s="32">
        <f t="shared" si="6"/>
        <v>-4.4673539518900365E-2</v>
      </c>
      <c r="I30" s="97">
        <f t="shared" si="7"/>
        <v>-6701.0309278350551</v>
      </c>
      <c r="J30" s="15">
        <f t="shared" si="8"/>
        <v>27.9</v>
      </c>
      <c r="K30" s="32">
        <f t="shared" si="9"/>
        <v>-4.1237113402061952E-2</v>
      </c>
      <c r="L30" s="18">
        <f t="shared" si="10"/>
        <v>-6185.5670103092925</v>
      </c>
      <c r="M30" s="31">
        <f t="shared" si="11"/>
        <v>27.9</v>
      </c>
      <c r="N30" s="32">
        <f t="shared" si="12"/>
        <v>-4.1237113402061952E-2</v>
      </c>
      <c r="O30" s="18">
        <f t="shared" si="13"/>
        <v>-6185.5670103092925</v>
      </c>
      <c r="Q30" s="270"/>
      <c r="R30" s="270"/>
      <c r="S30" s="270"/>
    </row>
    <row r="31" spans="1:19" ht="17.25" customHeight="1" thickBot="1">
      <c r="A31" s="126" t="s">
        <v>367</v>
      </c>
      <c r="B31" s="127">
        <f t="shared" si="0"/>
        <v>84.8</v>
      </c>
      <c r="C31" s="74">
        <f t="shared" si="1"/>
        <v>7.8880407099999994E-2</v>
      </c>
      <c r="D31" s="20">
        <f t="shared" si="2"/>
        <v>79.599999999999994</v>
      </c>
      <c r="E31" s="21">
        <f t="shared" si="3"/>
        <v>-6.1320754716981167E-2</v>
      </c>
      <c r="F31" s="22">
        <f t="shared" si="4"/>
        <v>-9198.1132075471742</v>
      </c>
      <c r="G31" s="30">
        <f t="shared" si="5"/>
        <v>79.7</v>
      </c>
      <c r="H31" s="21">
        <f t="shared" si="6"/>
        <v>-6.0141509433962202E-2</v>
      </c>
      <c r="I31" s="101">
        <f t="shared" si="7"/>
        <v>-9021.2264150943302</v>
      </c>
      <c r="J31" s="20">
        <f t="shared" si="8"/>
        <v>79.099999999999994</v>
      </c>
      <c r="K31" s="21">
        <f t="shared" si="9"/>
        <v>-6.7216981132075512E-2</v>
      </c>
      <c r="L31" s="22">
        <f t="shared" si="10"/>
        <v>-10082.547169811327</v>
      </c>
      <c r="M31" s="30">
        <f t="shared" si="11"/>
        <v>79.5</v>
      </c>
      <c r="N31" s="21">
        <f t="shared" si="12"/>
        <v>-6.2499999999999965E-2</v>
      </c>
      <c r="O31" s="22">
        <f t="shared" si="13"/>
        <v>-9374.9999999999945</v>
      </c>
      <c r="Q31" s="270"/>
      <c r="R31" s="270"/>
      <c r="S31" s="270"/>
    </row>
    <row r="32" spans="1:19" ht="17.25" customHeight="1" thickBot="1">
      <c r="A32" s="124" t="s">
        <v>368</v>
      </c>
      <c r="B32" s="128">
        <f t="shared" si="0"/>
        <v>615</v>
      </c>
      <c r="C32" s="76">
        <f t="shared" si="1"/>
        <v>0.1452513966</v>
      </c>
      <c r="D32" s="102">
        <f t="shared" si="2"/>
        <v>553</v>
      </c>
      <c r="E32" s="103">
        <f t="shared" si="3"/>
        <v>-0.1008130081300813</v>
      </c>
      <c r="F32" s="104">
        <f t="shared" si="4"/>
        <v>-15121.951219512195</v>
      </c>
      <c r="G32" s="105">
        <f t="shared" si="5"/>
        <v>563</v>
      </c>
      <c r="H32" s="103">
        <f t="shared" si="6"/>
        <v>-8.4552845528455281E-2</v>
      </c>
      <c r="I32" s="106">
        <f t="shared" si="7"/>
        <v>-12682.926829268292</v>
      </c>
      <c r="J32" s="102">
        <f t="shared" si="8"/>
        <v>563</v>
      </c>
      <c r="K32" s="103">
        <f t="shared" si="9"/>
        <v>-8.4552845528455281E-2</v>
      </c>
      <c r="L32" s="104">
        <f t="shared" si="10"/>
        <v>-12682.926829268292</v>
      </c>
      <c r="M32" s="105">
        <f t="shared" si="11"/>
        <v>557</v>
      </c>
      <c r="N32" s="103">
        <f t="shared" si="12"/>
        <v>-9.4308943089430899E-2</v>
      </c>
      <c r="O32" s="104">
        <f t="shared" si="13"/>
        <v>-14146.341463414636</v>
      </c>
      <c r="Q32" s="275"/>
      <c r="R32" s="275"/>
      <c r="S32" s="275"/>
    </row>
    <row r="33" spans="1:19" ht="17.25" customHeight="1" thickBot="1">
      <c r="A33" s="124" t="s">
        <v>369</v>
      </c>
      <c r="B33" s="125">
        <f t="shared" si="0"/>
        <v>181</v>
      </c>
      <c r="C33" s="73">
        <f t="shared" si="1"/>
        <v>0</v>
      </c>
      <c r="D33" s="15">
        <f t="shared" si="2"/>
        <v>179</v>
      </c>
      <c r="E33" s="32">
        <f t="shared" si="3"/>
        <v>-1.1049723756906077E-2</v>
      </c>
      <c r="F33" s="18">
        <f t="shared" si="4"/>
        <v>-1657.4585635359115</v>
      </c>
      <c r="G33" s="31">
        <f t="shared" si="5"/>
        <v>180</v>
      </c>
      <c r="H33" s="32">
        <f t="shared" si="6"/>
        <v>-5.5248618784530384E-3</v>
      </c>
      <c r="I33" s="97">
        <f t="shared" si="7"/>
        <v>-828.72928176795574</v>
      </c>
      <c r="J33" s="15">
        <f t="shared" si="8"/>
        <v>180</v>
      </c>
      <c r="K33" s="32">
        <f t="shared" si="9"/>
        <v>-5.5248618784530384E-3</v>
      </c>
      <c r="L33" s="18">
        <f t="shared" si="10"/>
        <v>-828.72928176795574</v>
      </c>
      <c r="M33" s="31">
        <f t="shared" si="11"/>
        <v>179</v>
      </c>
      <c r="N33" s="32">
        <f t="shared" si="12"/>
        <v>-1.1049723756906077E-2</v>
      </c>
      <c r="O33" s="18">
        <f t="shared" si="13"/>
        <v>-1657.4585635359115</v>
      </c>
      <c r="Q33" s="275"/>
      <c r="R33" s="275"/>
      <c r="S33" s="275"/>
    </row>
    <row r="34" spans="1:19" ht="17.25" customHeight="1" thickBot="1">
      <c r="A34" s="124" t="s">
        <v>370</v>
      </c>
      <c r="B34" s="125">
        <f t="shared" si="0"/>
        <v>481</v>
      </c>
      <c r="C34" s="73">
        <f t="shared" si="1"/>
        <v>-6.1983471000000004E-3</v>
      </c>
      <c r="D34" s="15">
        <f t="shared" si="2"/>
        <v>475</v>
      </c>
      <c r="E34" s="32">
        <f t="shared" si="3"/>
        <v>-1.2474012474012475E-2</v>
      </c>
      <c r="F34" s="18">
        <f t="shared" si="4"/>
        <v>-1871.1018711018712</v>
      </c>
      <c r="G34" s="31">
        <f t="shared" si="5"/>
        <v>478</v>
      </c>
      <c r="H34" s="32">
        <f t="shared" si="6"/>
        <v>-6.2370062370062374E-3</v>
      </c>
      <c r="I34" s="97">
        <f t="shared" si="7"/>
        <v>-935.55093555093561</v>
      </c>
      <c r="J34" s="15">
        <f t="shared" si="8"/>
        <v>481</v>
      </c>
      <c r="K34" s="32">
        <f t="shared" si="9"/>
        <v>0</v>
      </c>
      <c r="L34" s="18">
        <f t="shared" si="10"/>
        <v>0</v>
      </c>
      <c r="M34" s="31">
        <f t="shared" si="11"/>
        <v>485</v>
      </c>
      <c r="N34" s="32">
        <f t="shared" si="12"/>
        <v>8.3160083160083165E-3</v>
      </c>
      <c r="O34" s="18">
        <f t="shared" si="13"/>
        <v>1247.4012474012475</v>
      </c>
      <c r="Q34" s="275"/>
      <c r="R34" s="275"/>
      <c r="S34" s="275"/>
    </row>
    <row r="35" spans="1:19" ht="17.25" customHeight="1">
      <c r="A35" s="124" t="s">
        <v>371</v>
      </c>
      <c r="B35" s="125">
        <f t="shared" si="0"/>
        <v>18.3</v>
      </c>
      <c r="C35" s="73">
        <f t="shared" si="1"/>
        <v>-5.4347826000000002E-3</v>
      </c>
      <c r="D35" s="15">
        <f t="shared" si="2"/>
        <v>18.100000000000001</v>
      </c>
      <c r="E35" s="32">
        <f t="shared" si="3"/>
        <v>-1.092896174863384E-2</v>
      </c>
      <c r="F35" s="18">
        <f t="shared" si="4"/>
        <v>-1639.3442622950761</v>
      </c>
      <c r="G35" s="31">
        <f t="shared" si="5"/>
        <v>18.3</v>
      </c>
      <c r="H35" s="32">
        <f t="shared" si="6"/>
        <v>0</v>
      </c>
      <c r="I35" s="97">
        <f t="shared" si="7"/>
        <v>0</v>
      </c>
      <c r="J35" s="15">
        <f t="shared" si="8"/>
        <v>18.100000000000001</v>
      </c>
      <c r="K35" s="32">
        <f t="shared" si="9"/>
        <v>-1.092896174863384E-2</v>
      </c>
      <c r="L35" s="18">
        <f t="shared" si="10"/>
        <v>-1639.3442622950761</v>
      </c>
      <c r="M35" s="31">
        <f t="shared" si="11"/>
        <v>18.2</v>
      </c>
      <c r="N35" s="32">
        <f t="shared" si="12"/>
        <v>-5.4644808743170171E-3</v>
      </c>
      <c r="O35" s="18">
        <f t="shared" si="13"/>
        <v>-819.67213114755259</v>
      </c>
      <c r="Q35" s="297"/>
      <c r="R35" s="298"/>
      <c r="S35" s="299"/>
    </row>
    <row r="36" spans="1:19" ht="17.25" customHeight="1" thickBot="1">
      <c r="A36" s="129" t="s">
        <v>372</v>
      </c>
      <c r="B36" s="130">
        <f t="shared" si="0"/>
        <v>206</v>
      </c>
      <c r="C36" s="75">
        <f t="shared" si="1"/>
        <v>-1.9047618999999998E-2</v>
      </c>
      <c r="D36" s="24">
        <f t="shared" si="2"/>
        <v>203</v>
      </c>
      <c r="E36" s="25">
        <f t="shared" si="3"/>
        <v>-1.4563106796116505E-2</v>
      </c>
      <c r="F36" s="100">
        <f t="shared" si="4"/>
        <v>-2184.4660194174758</v>
      </c>
      <c r="G36" s="98">
        <f t="shared" si="5"/>
        <v>207</v>
      </c>
      <c r="H36" s="25">
        <f t="shared" si="6"/>
        <v>4.8543689320388345E-3</v>
      </c>
      <c r="I36" s="99">
        <f t="shared" si="7"/>
        <v>728.15533980582518</v>
      </c>
      <c r="J36" s="24">
        <f t="shared" si="8"/>
        <v>206</v>
      </c>
      <c r="K36" s="25">
        <f t="shared" si="9"/>
        <v>0</v>
      </c>
      <c r="L36" s="100">
        <f t="shared" si="10"/>
        <v>0</v>
      </c>
      <c r="M36" s="98">
        <f t="shared" si="11"/>
        <v>206</v>
      </c>
      <c r="N36" s="25">
        <f t="shared" si="12"/>
        <v>0</v>
      </c>
      <c r="O36" s="100">
        <f t="shared" si="13"/>
        <v>0</v>
      </c>
      <c r="Q36" s="300"/>
      <c r="R36" s="301"/>
      <c r="S36" s="302"/>
    </row>
    <row r="37" spans="1:19" ht="17.25" customHeight="1" thickBot="1">
      <c r="A37" s="131" t="s">
        <v>42</v>
      </c>
      <c r="B37" s="308">
        <v>150000</v>
      </c>
      <c r="C37" s="309"/>
      <c r="D37" s="26" t="s">
        <v>43</v>
      </c>
      <c r="E37" s="27">
        <f>IF(COUNT(E17:E36), SUM(E17:E36) / COUNT(E17:E36), 0)</f>
        <v>-4.7332303870481401E-2</v>
      </c>
      <c r="F37" s="28">
        <f>SUM(F17:F36)</f>
        <v>-141996.91161144423</v>
      </c>
      <c r="G37" s="26" t="s">
        <v>43</v>
      </c>
      <c r="H37" s="27">
        <f>IF(COUNT(H17:H36), SUM(H17:H36) / COUNT(H17:H36), 0)</f>
        <v>-2.9007806444544669E-2</v>
      </c>
      <c r="I37" s="28">
        <f>SUM(I17:I36)</f>
        <v>-87023.41933363401</v>
      </c>
      <c r="J37" s="26" t="s">
        <v>43</v>
      </c>
      <c r="K37" s="27">
        <f>IF(COUNT(K17:K36), SUM(K17:K36) / COUNT(K17:K36), 0)</f>
        <v>-3.1388682775454854E-2</v>
      </c>
      <c r="L37" s="28">
        <f>SUM(L17:L36)</f>
        <v>-94166.048326364573</v>
      </c>
      <c r="M37" s="26" t="s">
        <v>43</v>
      </c>
      <c r="N37" s="27">
        <f>IF(COUNT(N17:N36), SUM(N17:N36) / COUNT(N17:N36), 0)</f>
        <v>-3.1886092493784067E-2</v>
      </c>
      <c r="O37" s="28">
        <f>SUM(O17:O36)</f>
        <v>-95658.277481352183</v>
      </c>
      <c r="Q37" s="303"/>
      <c r="R37" s="304"/>
      <c r="S37" s="305"/>
    </row>
    <row r="38" spans="1:19" ht="17.25" customHeight="1"/>
    <row r="39" spans="1:19" ht="17.25" customHeight="1" thickBot="1"/>
    <row r="40" spans="1:19" ht="17.25" customHeight="1" thickBot="1">
      <c r="A40" s="249" t="s">
        <v>44</v>
      </c>
      <c r="B40" s="250"/>
      <c r="C40" s="250"/>
      <c r="D40" s="250"/>
      <c r="E40" s="250"/>
      <c r="F40" s="250"/>
      <c r="G40" s="250"/>
      <c r="H40" s="250"/>
      <c r="I40" s="250"/>
      <c r="J40" s="250"/>
      <c r="K40" s="250"/>
      <c r="L40" s="250"/>
      <c r="M40" s="250"/>
      <c r="N40" s="250"/>
      <c r="O40" s="251"/>
      <c r="Q40" s="270"/>
      <c r="R40" s="270"/>
      <c r="S40" s="270"/>
    </row>
    <row r="41" spans="1:19" ht="17.25" customHeight="1" thickBot="1">
      <c r="A41" s="167" t="s">
        <v>298</v>
      </c>
      <c r="B41" s="249" t="s">
        <v>49</v>
      </c>
      <c r="C41" s="251"/>
      <c r="D41" s="249" t="s">
        <v>58</v>
      </c>
      <c r="E41" s="250"/>
      <c r="F41" s="251"/>
      <c r="G41" s="276">
        <f>_xlfn.IFNA(VLOOKUP(B41, 현재가테이블!$B$2:$D$200, 2, FALSE), "-")</f>
        <v>60874000</v>
      </c>
      <c r="H41" s="277"/>
      <c r="I41" s="278"/>
      <c r="J41" s="249" t="s">
        <v>59</v>
      </c>
      <c r="K41" s="250"/>
      <c r="L41" s="251"/>
      <c r="M41" s="279">
        <f>_xlfn.IFNA(VLOOKUP(B41, 현재가테이블!$B$2:$D$200, 3, FALSE), "-")</f>
        <v>-1.4936000099999999E-2</v>
      </c>
      <c r="N41" s="280"/>
      <c r="O41" s="281"/>
      <c r="Q41" s="270"/>
      <c r="R41" s="270"/>
      <c r="S41" s="270"/>
    </row>
    <row r="42" spans="1:19" ht="17.25" customHeight="1" thickBot="1">
      <c r="A42" s="310" t="s">
        <v>55</v>
      </c>
      <c r="B42" s="312" t="str">
        <f>TEXT($G$1, "[$-ko-KR]yyyy-mm-dd(ddd) ") &amp; "오전 00:00"</f>
        <v>2021-05-08(토) 오전 00:00</v>
      </c>
      <c r="C42" s="313"/>
      <c r="D42" s="272" t="str">
        <f>TEXT($G$1, "[$-ko-KR]yyyy-mm-dd(ddd) ") &amp; "오후 14:00"</f>
        <v>2021-05-08(토) 오후 14:00</v>
      </c>
      <c r="E42" s="273"/>
      <c r="F42" s="274"/>
      <c r="G42" s="272" t="str">
        <f>TEXT($G$1, "[$-ko-KR]yyyy-mm-dd(ddd) ") &amp; "오후 19:00"</f>
        <v>2021-05-08(토) 오후 19:00</v>
      </c>
      <c r="H42" s="273"/>
      <c r="I42" s="274"/>
      <c r="J42" s="272" t="str">
        <f>TEXT($G$1, "[$-ko-KR]yyyy-mm-dd(ddd) ") &amp; "오후 21:00"</f>
        <v>2021-05-08(토) 오후 21:00</v>
      </c>
      <c r="K42" s="273"/>
      <c r="L42" s="274"/>
      <c r="M42" s="272" t="str">
        <f>TEXT($G$1+1, "[$-ko-KR]yyyy-mm-dd(ddd) ") &amp; "오전 00:00"</f>
        <v>2021-05-09(일) 오전 00:00</v>
      </c>
      <c r="N42" s="273"/>
      <c r="O42" s="274"/>
      <c r="Q42" s="270"/>
      <c r="R42" s="270"/>
      <c r="S42" s="270"/>
    </row>
    <row r="43" spans="1:19" ht="17.25" customHeight="1" thickBot="1">
      <c r="A43" s="311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8" t="s">
        <v>58</v>
      </c>
      <c r="H43" s="169" t="s">
        <v>299</v>
      </c>
      <c r="I43" s="17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75"/>
      <c r="R43" s="275"/>
      <c r="S43" s="275"/>
    </row>
    <row r="44" spans="1:19" ht="17.25" customHeight="1" thickBot="1">
      <c r="A44" s="122" t="s">
        <v>65</v>
      </c>
      <c r="B44" s="123">
        <v>84.8</v>
      </c>
      <c r="C44" s="72">
        <v>7.8880407099999994E-2</v>
      </c>
      <c r="D44" s="13">
        <v>79.599999999999994</v>
      </c>
      <c r="E44" s="14">
        <f>IF(ISNUMBER(D44), (D44 - $B44) / $B44, "")</f>
        <v>-6.1320754716981167E-2</v>
      </c>
      <c r="F44" s="16">
        <f>IF(ISNUMBER(D44), $B64 * E44, "")</f>
        <v>-9198.1132075471742</v>
      </c>
      <c r="G44" s="29">
        <v>79.7</v>
      </c>
      <c r="H44" s="14">
        <f>IF(ISNUMBER(G44), (G44 - $B44) / $B44, "")</f>
        <v>-6.0141509433962202E-2</v>
      </c>
      <c r="I44" s="96">
        <f>IF(ISNUMBER(G44), $B64 * H44, "")</f>
        <v>-9021.2264150943302</v>
      </c>
      <c r="J44" s="13">
        <v>79.099999999999994</v>
      </c>
      <c r="K44" s="14">
        <f>IF(ISNUMBER(J44), (J44 - $B44) / $B44, "")</f>
        <v>-6.7216981132075512E-2</v>
      </c>
      <c r="L44" s="16">
        <f>IF(ISNUMBER(J44), $B64 * K44, "")</f>
        <v>-10082.547169811327</v>
      </c>
      <c r="M44" s="29">
        <v>79.5</v>
      </c>
      <c r="N44" s="14">
        <f>IF(ISNUMBER(M44), (M44 - $B44) / $B44, "")</f>
        <v>-6.2499999999999965E-2</v>
      </c>
      <c r="O44" s="16">
        <f>IF(ISNUMBER(M44), $B64 * N44, "")</f>
        <v>-9374.9999999999945</v>
      </c>
      <c r="Q44" s="270"/>
      <c r="R44" s="270"/>
      <c r="S44" s="270"/>
    </row>
    <row r="45" spans="1:19" ht="17.25" customHeight="1" thickBot="1">
      <c r="A45" s="124" t="s">
        <v>172</v>
      </c>
      <c r="B45" s="125">
        <v>25.9</v>
      </c>
      <c r="C45" s="73">
        <v>5.2845528500000002E-2</v>
      </c>
      <c r="D45" s="15">
        <v>25.2</v>
      </c>
      <c r="E45" s="32">
        <f t="shared" ref="E45:E48" si="14">IF(ISNUMBER(D45), (D45 - $B45) / $B45, "")</f>
        <v>-2.7027027027027001E-2</v>
      </c>
      <c r="F45" s="18">
        <f>IF(ISNUMBER(D45), $B64 * E45, "")</f>
        <v>-4054.0540540540501</v>
      </c>
      <c r="G45" s="31">
        <v>25</v>
      </c>
      <c r="H45" s="32">
        <f t="shared" ref="H45:H48" si="15">IF(ISNUMBER(G45), (G45 - $B45) / $B45, "")</f>
        <v>-3.4749034749034693E-2</v>
      </c>
      <c r="I45" s="97">
        <f>IF(ISNUMBER(G45), $B64 * H45, "")</f>
        <v>-5212.3552123552045</v>
      </c>
      <c r="J45" s="15">
        <v>25.1</v>
      </c>
      <c r="K45" s="32">
        <f t="shared" ref="K45:K48" si="16">IF(ISNUMBER(J45), (J45 - $B45) / $B45, "")</f>
        <v>-3.0888030888030781E-2</v>
      </c>
      <c r="L45" s="18">
        <f>IF(ISNUMBER(J45), $B64 * K45, "")</f>
        <v>-4633.2046332046175</v>
      </c>
      <c r="M45" s="31">
        <v>25.1</v>
      </c>
      <c r="N45" s="32">
        <f t="shared" ref="N45:N48" si="17">IF(ISNUMBER(M45), (M45 - $B45) / $B45, "")</f>
        <v>-3.0888030888030781E-2</v>
      </c>
      <c r="O45" s="18">
        <f>IF(ISNUMBER(M45), $B64 * N45, "")</f>
        <v>-4633.2046332046175</v>
      </c>
      <c r="Q45" s="270"/>
      <c r="R45" s="270"/>
      <c r="S45" s="270"/>
    </row>
    <row r="46" spans="1:19" ht="17.25" customHeight="1" thickBot="1">
      <c r="A46" s="124" t="s">
        <v>218</v>
      </c>
      <c r="B46" s="125">
        <v>29.1</v>
      </c>
      <c r="C46" s="73">
        <v>4.3010752700000002E-2</v>
      </c>
      <c r="D46" s="15">
        <v>27.8</v>
      </c>
      <c r="E46" s="32">
        <f t="shared" si="14"/>
        <v>-4.4673539518900365E-2</v>
      </c>
      <c r="F46" s="18">
        <f>IF(ISNUMBER(D46), $B64 * E46, "")</f>
        <v>-6701.0309278350551</v>
      </c>
      <c r="G46" s="31">
        <v>27.8</v>
      </c>
      <c r="H46" s="32">
        <f t="shared" si="15"/>
        <v>-4.4673539518900365E-2</v>
      </c>
      <c r="I46" s="97">
        <f>IF(ISNUMBER(G46), $B64 * H46, "")</f>
        <v>-6701.0309278350551</v>
      </c>
      <c r="J46" s="15">
        <v>27.9</v>
      </c>
      <c r="K46" s="32">
        <f t="shared" si="16"/>
        <v>-4.1237113402061952E-2</v>
      </c>
      <c r="L46" s="18">
        <f>IF(ISNUMBER(J46), $B64 * K46, "")</f>
        <v>-6185.5670103092925</v>
      </c>
      <c r="M46" s="31">
        <v>27.9</v>
      </c>
      <c r="N46" s="32">
        <f t="shared" si="17"/>
        <v>-4.1237113402061952E-2</v>
      </c>
      <c r="O46" s="18">
        <f>IF(ISNUMBER(M46), $B64 * N46, "")</f>
        <v>-6185.5670103092925</v>
      </c>
      <c r="Q46" s="275"/>
      <c r="R46" s="275"/>
      <c r="S46" s="275"/>
    </row>
    <row r="47" spans="1:19" ht="17.25" customHeight="1" thickBot="1">
      <c r="A47" s="124" t="s">
        <v>152</v>
      </c>
      <c r="B47" s="125">
        <v>52.3</v>
      </c>
      <c r="C47" s="73">
        <v>3.5643564400000001E-2</v>
      </c>
      <c r="D47" s="15">
        <v>50.1</v>
      </c>
      <c r="E47" s="32">
        <f t="shared" si="14"/>
        <v>-4.2065009560229363E-2</v>
      </c>
      <c r="F47" s="18">
        <f>IF(ISNUMBER(D47), $B64 * E47, "")</f>
        <v>-6309.7514340344042</v>
      </c>
      <c r="G47" s="31">
        <v>50.1</v>
      </c>
      <c r="H47" s="32">
        <f t="shared" si="15"/>
        <v>-4.2065009560229363E-2</v>
      </c>
      <c r="I47" s="97">
        <f>IF(ISNUMBER(G47), $B64 * H47, "")</f>
        <v>-6309.7514340344042</v>
      </c>
      <c r="J47" s="15">
        <v>50</v>
      </c>
      <c r="K47" s="32">
        <f t="shared" si="16"/>
        <v>-4.3977055449330733E-2</v>
      </c>
      <c r="L47" s="18">
        <f>IF(ISNUMBER(J47), $B64 * K47, "")</f>
        <v>-6596.5583173996101</v>
      </c>
      <c r="M47" s="31">
        <v>49.7</v>
      </c>
      <c r="N47" s="32">
        <f t="shared" si="17"/>
        <v>-4.9713193116634691E-2</v>
      </c>
      <c r="O47" s="18">
        <f>IF(ISNUMBER(M47), $B64 * N47, "")</f>
        <v>-7456.9789674952035</v>
      </c>
      <c r="Q47" s="275"/>
      <c r="R47" s="275"/>
      <c r="S47" s="275"/>
    </row>
    <row r="48" spans="1:19" ht="17.25" customHeight="1" thickBot="1">
      <c r="A48" s="126" t="s">
        <v>222</v>
      </c>
      <c r="B48" s="127">
        <v>18.899999999999999</v>
      </c>
      <c r="C48" s="74">
        <v>2.7173913000000001E-2</v>
      </c>
      <c r="D48" s="20">
        <v>18.5</v>
      </c>
      <c r="E48" s="21">
        <f t="shared" si="14"/>
        <v>-2.116402116402109E-2</v>
      </c>
      <c r="F48" s="22">
        <f>IF(ISNUMBER(D48), $B64 * E48, "")</f>
        <v>-3174.6031746031636</v>
      </c>
      <c r="G48" s="30">
        <v>18.7</v>
      </c>
      <c r="H48" s="21">
        <f t="shared" si="15"/>
        <v>-1.0582010582010545E-2</v>
      </c>
      <c r="I48" s="101">
        <f>IF(ISNUMBER(G48), $B64 * H48, "")</f>
        <v>-1587.3015873015818</v>
      </c>
      <c r="J48" s="20">
        <v>18.7</v>
      </c>
      <c r="K48" s="21">
        <f t="shared" si="16"/>
        <v>-1.0582010582010545E-2</v>
      </c>
      <c r="L48" s="22">
        <f>IF(ISNUMBER(J48), $B64 * K48, "")</f>
        <v>-1587.3015873015818</v>
      </c>
      <c r="M48" s="30">
        <v>18.600000000000001</v>
      </c>
      <c r="N48" s="21">
        <f t="shared" si="17"/>
        <v>-1.5873015873015723E-2</v>
      </c>
      <c r="O48" s="22">
        <f>IF(ISNUMBER(M48), $B64 * N48, "")</f>
        <v>-2380.9523809523585</v>
      </c>
      <c r="Q48" s="275"/>
      <c r="R48" s="275"/>
      <c r="S48" s="275"/>
    </row>
    <row r="49" spans="1:19" ht="17.25" customHeight="1" thickBot="1">
      <c r="A49" s="124" t="s">
        <v>236</v>
      </c>
      <c r="B49" s="128">
        <v>69.3</v>
      </c>
      <c r="C49" s="76">
        <v>2.3633678000000002E-2</v>
      </c>
      <c r="D49" s="102">
        <v>67</v>
      </c>
      <c r="E49" s="103">
        <f>IF(ISNUMBER(D49), (D49 - $B49) / $B49, "")</f>
        <v>-3.318903318903315E-2</v>
      </c>
      <c r="F49" s="104">
        <f>IF(ISNUMBER(D49), $B64 * E49, "")</f>
        <v>-4978.3549783549724</v>
      </c>
      <c r="G49" s="105">
        <v>67.400000000000006</v>
      </c>
      <c r="H49" s="103">
        <f>IF(ISNUMBER(G49), (G49 - $B49) / $B49, "")</f>
        <v>-2.7417027417027295E-2</v>
      </c>
      <c r="I49" s="106">
        <f>IF(ISNUMBER(G49), $B64 * H49, "")</f>
        <v>-4112.554112554094</v>
      </c>
      <c r="J49" s="102">
        <v>67.5</v>
      </c>
      <c r="K49" s="103">
        <f>IF(ISNUMBER(J49), (J49 - $B49) / $B49, "")</f>
        <v>-2.5974025974025934E-2</v>
      </c>
      <c r="L49" s="104">
        <f>IF(ISNUMBER(J49), $B64 * K49, "")</f>
        <v>-3896.1038961038903</v>
      </c>
      <c r="M49" s="105">
        <v>67.400000000000006</v>
      </c>
      <c r="N49" s="103">
        <f>IF(ISNUMBER(M49), (M49 - $B49) / $B49, "")</f>
        <v>-2.7417027417027295E-2</v>
      </c>
      <c r="O49" s="104">
        <f>IF(ISNUMBER(M49), $B64 * N49, "")</f>
        <v>-4112.554112554094</v>
      </c>
      <c r="Q49" s="275"/>
      <c r="R49" s="275"/>
      <c r="S49" s="275"/>
    </row>
    <row r="50" spans="1:19" ht="17.25" customHeight="1" thickBot="1">
      <c r="A50" s="124" t="s">
        <v>196</v>
      </c>
      <c r="B50" s="125">
        <v>20.6</v>
      </c>
      <c r="C50" s="73">
        <v>1.9801980199999999E-2</v>
      </c>
      <c r="D50" s="15">
        <v>20.2</v>
      </c>
      <c r="E50" s="32">
        <f t="shared" ref="E50:E53" si="18">IF(ISNUMBER(D50), (D50 - $B50) / $B50, "")</f>
        <v>-1.9417475728155442E-2</v>
      </c>
      <c r="F50" s="18">
        <f>IF(ISNUMBER(D50), $B64 * E50, "")</f>
        <v>-2912.6213592233162</v>
      </c>
      <c r="G50" s="31">
        <v>20.3</v>
      </c>
      <c r="H50" s="32">
        <f t="shared" ref="H50:H53" si="19">IF(ISNUMBER(G50), (G50 - $B50) / $B50, "")</f>
        <v>-1.4563106796116538E-2</v>
      </c>
      <c r="I50" s="97">
        <f>IF(ISNUMBER(G50), $B64 * H50, "")</f>
        <v>-2184.4660194174808</v>
      </c>
      <c r="J50" s="15">
        <v>20.5</v>
      </c>
      <c r="K50" s="32">
        <f t="shared" ref="K50:K53" si="20">IF(ISNUMBER(J50), (J50 - $B50) / $B50, "")</f>
        <v>-4.8543689320389039E-3</v>
      </c>
      <c r="L50" s="18">
        <f>IF(ISNUMBER(J50), $B64 * K50, "")</f>
        <v>-728.15533980583564</v>
      </c>
      <c r="M50" s="31">
        <v>20.5</v>
      </c>
      <c r="N50" s="32">
        <f t="shared" ref="N50:N53" si="21">IF(ISNUMBER(M50), (M50 - $B50) / $B50, "")</f>
        <v>-4.8543689320389039E-3</v>
      </c>
      <c r="O50" s="18">
        <f>IF(ISNUMBER(M50), $B64 * N50, "")</f>
        <v>-728.15533980583564</v>
      </c>
      <c r="Q50" s="275"/>
      <c r="R50" s="275"/>
      <c r="S50" s="275"/>
    </row>
    <row r="51" spans="1:19" ht="17.25" customHeight="1" thickBot="1">
      <c r="A51" s="124" t="s">
        <v>100</v>
      </c>
      <c r="B51" s="125">
        <v>9.85</v>
      </c>
      <c r="C51" s="73">
        <v>1.7561983499999999E-2</v>
      </c>
      <c r="D51" s="15">
        <v>9.32</v>
      </c>
      <c r="E51" s="32">
        <f t="shared" si="18"/>
        <v>-5.3807106598984709E-2</v>
      </c>
      <c r="F51" s="18">
        <f>IF(ISNUMBER(D51), $B64 * E51, "")</f>
        <v>-8071.0659898477061</v>
      </c>
      <c r="G51" s="31">
        <v>9.39</v>
      </c>
      <c r="H51" s="32">
        <f t="shared" si="19"/>
        <v>-4.6700507614213106E-2</v>
      </c>
      <c r="I51" s="97">
        <f>IF(ISNUMBER(G51), $B64 * H51, "")</f>
        <v>-7005.0761421319658</v>
      </c>
      <c r="J51" s="15">
        <v>9.3699999999999992</v>
      </c>
      <c r="K51" s="32">
        <f t="shared" si="20"/>
        <v>-4.8730964467005124E-2</v>
      </c>
      <c r="L51" s="18">
        <f>IF(ISNUMBER(J51), $B64 * K51, "")</f>
        <v>-7309.6446700507686</v>
      </c>
      <c r="M51" s="31">
        <v>9.2200000000000006</v>
      </c>
      <c r="N51" s="32">
        <f t="shared" si="21"/>
        <v>-6.3959390862944068E-2</v>
      </c>
      <c r="O51" s="18">
        <f>IF(ISNUMBER(M51), $B64 * N51, "")</f>
        <v>-9593.9086294416102</v>
      </c>
      <c r="Q51" s="275"/>
      <c r="R51" s="275"/>
      <c r="S51" s="275"/>
    </row>
    <row r="52" spans="1:19" ht="17.25" customHeight="1" thickBot="1">
      <c r="A52" s="124" t="s">
        <v>214</v>
      </c>
      <c r="B52" s="125">
        <v>22.1</v>
      </c>
      <c r="C52" s="73">
        <v>9.1324201000000001E-3</v>
      </c>
      <c r="D52" s="15">
        <v>21.6</v>
      </c>
      <c r="E52" s="32">
        <f t="shared" si="18"/>
        <v>-2.2624434389140271E-2</v>
      </c>
      <c r="F52" s="18">
        <f>IF(ISNUMBER(D52), $B64 * E52, "")</f>
        <v>-3393.6651583710404</v>
      </c>
      <c r="G52" s="31">
        <v>21.8</v>
      </c>
      <c r="H52" s="32">
        <f t="shared" si="19"/>
        <v>-1.3574660633484194E-2</v>
      </c>
      <c r="I52" s="97">
        <f>IF(ISNUMBER(G52), $B64 * H52, "")</f>
        <v>-2036.1990950226291</v>
      </c>
      <c r="J52" s="15">
        <v>21.7</v>
      </c>
      <c r="K52" s="32">
        <f t="shared" si="20"/>
        <v>-1.8099547511312312E-2</v>
      </c>
      <c r="L52" s="18">
        <f>IF(ISNUMBER(J52), $B64 * K52, "")</f>
        <v>-2714.9321266968468</v>
      </c>
      <c r="M52" s="31">
        <v>21.6</v>
      </c>
      <c r="N52" s="32">
        <f t="shared" si="21"/>
        <v>-2.2624434389140271E-2</v>
      </c>
      <c r="O52" s="18">
        <f>IF(ISNUMBER(M52), $B64 * N52, "")</f>
        <v>-3393.6651583710404</v>
      </c>
      <c r="Q52" s="33"/>
      <c r="R52" s="33"/>
    </row>
    <row r="53" spans="1:19" ht="17.25" customHeight="1" thickBot="1">
      <c r="A53" s="129" t="s">
        <v>186</v>
      </c>
      <c r="B53" s="130">
        <v>25.3</v>
      </c>
      <c r="C53" s="75">
        <v>7.9681274999999999E-3</v>
      </c>
      <c r="D53" s="24">
        <v>25.5</v>
      </c>
      <c r="E53" s="25">
        <f t="shared" si="18"/>
        <v>7.9051383399209203E-3</v>
      </c>
      <c r="F53" s="100">
        <f>IF(ISNUMBER(D53), $B64 * E53, "")</f>
        <v>1185.7707509881382</v>
      </c>
      <c r="G53" s="98">
        <v>25.3</v>
      </c>
      <c r="H53" s="25">
        <f t="shared" si="19"/>
        <v>0</v>
      </c>
      <c r="I53" s="99">
        <f>IF(ISNUMBER(G53), $B64 * H53, "")</f>
        <v>0</v>
      </c>
      <c r="J53" s="24">
        <v>25.8</v>
      </c>
      <c r="K53" s="25">
        <f t="shared" si="20"/>
        <v>1.9762845849802372E-2</v>
      </c>
      <c r="L53" s="100">
        <f>IF(ISNUMBER(J53), $B64 * K53, "")</f>
        <v>2964.426877470356</v>
      </c>
      <c r="M53" s="98">
        <v>25.2</v>
      </c>
      <c r="N53" s="25">
        <f t="shared" si="21"/>
        <v>-3.9525691699605304E-3</v>
      </c>
      <c r="O53" s="100">
        <f>IF(ISNUMBER(M53), $B64 * N53, "")</f>
        <v>-592.88537549407954</v>
      </c>
      <c r="Q53" s="284"/>
      <c r="R53" s="285"/>
      <c r="S53" s="286"/>
    </row>
    <row r="54" spans="1:19" ht="17.25" customHeight="1">
      <c r="A54" s="122" t="s">
        <v>198</v>
      </c>
      <c r="B54" s="123">
        <v>28.1</v>
      </c>
      <c r="C54" s="72">
        <v>7.1684588000000002E-3</v>
      </c>
      <c r="D54" s="13">
        <v>27.8</v>
      </c>
      <c r="E54" s="14">
        <f>IF(ISNUMBER(D54), (D54 - $B54) / $B54, "")</f>
        <v>-1.0676156583629918E-2</v>
      </c>
      <c r="F54" s="16">
        <f>IF(ISNUMBER(D54), $B64 * E54, "")</f>
        <v>-1601.4234875444877</v>
      </c>
      <c r="G54" s="29">
        <v>27.9</v>
      </c>
      <c r="H54" s="14">
        <f>IF(ISNUMBER(G54), (G54 - $B54) / $B54, "")</f>
        <v>-7.1174377224200299E-3</v>
      </c>
      <c r="I54" s="96">
        <f>IF(ISNUMBER(G54), $B64 * H54, "")</f>
        <v>-1067.6156583630045</v>
      </c>
      <c r="J54" s="13">
        <v>27.9</v>
      </c>
      <c r="K54" s="14">
        <f>IF(ISNUMBER(J54), (J54 - $B54) / $B54, "")</f>
        <v>-7.1174377224200299E-3</v>
      </c>
      <c r="L54" s="16">
        <f>IF(ISNUMBER(J54), $B64 * K54, "")</f>
        <v>-1067.6156583630045</v>
      </c>
      <c r="M54" s="29">
        <v>27.7</v>
      </c>
      <c r="N54" s="14">
        <f>IF(ISNUMBER(M54), (M54 - $B54) / $B54, "")</f>
        <v>-1.4234875444839933E-2</v>
      </c>
      <c r="O54" s="16">
        <f>IF(ISNUMBER(M54), $B64 * N54, "")</f>
        <v>-2135.2313167259899</v>
      </c>
      <c r="Q54" s="287"/>
      <c r="R54" s="288"/>
      <c r="S54" s="289"/>
    </row>
    <row r="55" spans="1:19" ht="17.25" customHeight="1" thickBot="1">
      <c r="A55" s="124" t="s">
        <v>154</v>
      </c>
      <c r="B55" s="125">
        <v>20.8</v>
      </c>
      <c r="C55" s="73">
        <v>4.8309179000000004E-3</v>
      </c>
      <c r="D55" s="15">
        <v>20.6</v>
      </c>
      <c r="E55" s="32">
        <f t="shared" ref="E55:E58" si="22">IF(ISNUMBER(D55), (D55 - $B55) / $B55, "")</f>
        <v>-9.6153846153845812E-3</v>
      </c>
      <c r="F55" s="18">
        <f>IF(ISNUMBER(D55), $B64 * E55, "")</f>
        <v>-1442.3076923076871</v>
      </c>
      <c r="G55" s="31">
        <v>20.9</v>
      </c>
      <c r="H55" s="32">
        <f t="shared" ref="H55:H58" si="23">IF(ISNUMBER(G55), (G55 - $B55) / $B55, "")</f>
        <v>4.8076923076922047E-3</v>
      </c>
      <c r="I55" s="97">
        <f>IF(ISNUMBER(G55), $B64 * H55, "")</f>
        <v>721.15384615383073</v>
      </c>
      <c r="J55" s="15">
        <v>20.8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21.5</v>
      </c>
      <c r="N55" s="32">
        <f t="shared" ref="N55:N58" si="25">IF(ISNUMBER(M55), (M55 - $B55) / $B55, "")</f>
        <v>3.3653846153846118E-2</v>
      </c>
      <c r="O55" s="18">
        <f>IF(ISNUMBER(M55), $B64 * N55, "")</f>
        <v>5048.0769230769174</v>
      </c>
      <c r="Q55" s="290"/>
      <c r="R55" s="291"/>
      <c r="S55" s="292"/>
    </row>
    <row r="56" spans="1:19" ht="17.25" customHeight="1" thickBot="1">
      <c r="A56" s="124" t="s">
        <v>126</v>
      </c>
      <c r="B56" s="125">
        <v>61</v>
      </c>
      <c r="C56" s="73">
        <v>-4.8939641000000002E-3</v>
      </c>
      <c r="D56" s="15">
        <v>60.4</v>
      </c>
      <c r="E56" s="32">
        <f t="shared" si="22"/>
        <v>-9.8360655737705152E-3</v>
      </c>
      <c r="F56" s="18">
        <f>IF(ISNUMBER(D56), $B64 * E56, "")</f>
        <v>-1475.4098360655773</v>
      </c>
      <c r="G56" s="31">
        <v>61.2</v>
      </c>
      <c r="H56" s="32">
        <f t="shared" si="23"/>
        <v>3.2786885245902103E-3</v>
      </c>
      <c r="I56" s="97">
        <f>IF(ISNUMBER(G56), $B64 * H56, "")</f>
        <v>491.80327868853158</v>
      </c>
      <c r="J56" s="15">
        <v>61.3</v>
      </c>
      <c r="K56" s="32">
        <f t="shared" si="24"/>
        <v>4.9180327868851995E-3</v>
      </c>
      <c r="L56" s="18">
        <f>IF(ISNUMBER(J56), $B64 * K56, "")</f>
        <v>737.70491803277991</v>
      </c>
      <c r="M56" s="31">
        <v>60.6</v>
      </c>
      <c r="N56" s="32">
        <f t="shared" si="25"/>
        <v>-6.5573770491803044E-3</v>
      </c>
      <c r="O56" s="18">
        <f>IF(ISNUMBER(M56), $B64 * N56, "")</f>
        <v>-983.60655737704565</v>
      </c>
      <c r="Q56" s="275"/>
      <c r="R56" s="275"/>
      <c r="S56" s="275"/>
    </row>
    <row r="57" spans="1:19" ht="17.25" customHeight="1" thickBot="1">
      <c r="A57" s="124" t="s">
        <v>228</v>
      </c>
      <c r="B57" s="125">
        <v>18.3</v>
      </c>
      <c r="C57" s="73">
        <v>-5.4347826000000002E-3</v>
      </c>
      <c r="D57" s="15">
        <v>18.100000000000001</v>
      </c>
      <c r="E57" s="32">
        <f t="shared" si="22"/>
        <v>-1.092896174863384E-2</v>
      </c>
      <c r="F57" s="18">
        <f>IF(ISNUMBER(D57), $B64 * E57, "")</f>
        <v>-1639.3442622950761</v>
      </c>
      <c r="G57" s="31">
        <v>18.3</v>
      </c>
      <c r="H57" s="32">
        <f t="shared" si="23"/>
        <v>0</v>
      </c>
      <c r="I57" s="97">
        <f>IF(ISNUMBER(G57), $B64 * H57, "")</f>
        <v>0</v>
      </c>
      <c r="J57" s="15">
        <v>18.100000000000001</v>
      </c>
      <c r="K57" s="32">
        <f t="shared" si="24"/>
        <v>-1.092896174863384E-2</v>
      </c>
      <c r="L57" s="18">
        <f>IF(ISNUMBER(J57), $B64 * K57, "")</f>
        <v>-1639.3442622950761</v>
      </c>
      <c r="M57" s="31">
        <v>18.2</v>
      </c>
      <c r="N57" s="32">
        <f t="shared" si="25"/>
        <v>-5.4644808743170171E-3</v>
      </c>
      <c r="O57" s="18">
        <f>IF(ISNUMBER(M57), $B64 * N57, "")</f>
        <v>-819.67213114755259</v>
      </c>
      <c r="Q57" s="270"/>
      <c r="R57" s="270"/>
      <c r="S57" s="270"/>
    </row>
    <row r="58" spans="1:19" ht="17.25" customHeight="1" thickBot="1">
      <c r="A58" s="126" t="s">
        <v>72</v>
      </c>
      <c r="B58" s="127">
        <v>39.1</v>
      </c>
      <c r="C58" s="74">
        <v>-7.6142132E-3</v>
      </c>
      <c r="D58" s="20">
        <v>38.1</v>
      </c>
      <c r="E58" s="21">
        <f t="shared" si="22"/>
        <v>-2.557544757033248E-2</v>
      </c>
      <c r="F58" s="22">
        <f>IF(ISNUMBER(D58), $B64 * E58, "")</f>
        <v>-3836.3171355498721</v>
      </c>
      <c r="G58" s="30">
        <v>38.299999999999997</v>
      </c>
      <c r="H58" s="21">
        <f t="shared" si="23"/>
        <v>-2.0460358056266094E-2</v>
      </c>
      <c r="I58" s="101">
        <f>IF(ISNUMBER(G58), $B64 * H58, "")</f>
        <v>-3069.0537084399139</v>
      </c>
      <c r="J58" s="20">
        <v>38.299999999999997</v>
      </c>
      <c r="K58" s="21">
        <f t="shared" si="24"/>
        <v>-2.0460358056266094E-2</v>
      </c>
      <c r="L58" s="22">
        <f>IF(ISNUMBER(J58), $B64 * K58, "")</f>
        <v>-3069.0537084399139</v>
      </c>
      <c r="M58" s="30">
        <v>38.799999999999997</v>
      </c>
      <c r="N58" s="21">
        <f t="shared" si="25"/>
        <v>-7.6726342710998529E-3</v>
      </c>
      <c r="O58" s="22">
        <f>IF(ISNUMBER(M58), $B64 * N58, "")</f>
        <v>-1150.8951406649778</v>
      </c>
      <c r="Q58" s="270"/>
      <c r="R58" s="270"/>
      <c r="S58" s="270"/>
    </row>
    <row r="59" spans="1:19" ht="17.25" customHeight="1" thickBot="1">
      <c r="A59" s="124" t="s">
        <v>254</v>
      </c>
      <c r="B59" s="128">
        <v>83.8</v>
      </c>
      <c r="C59" s="76">
        <v>-1.06257379E-2</v>
      </c>
      <c r="D59" s="102">
        <v>84.4</v>
      </c>
      <c r="E59" s="103">
        <f>IF(ISNUMBER(D59), (D59 - $B59) / $B59, "")</f>
        <v>7.1599045346063071E-3</v>
      </c>
      <c r="F59" s="104">
        <f>IF(ISNUMBER(D59), $B64 * E59, "")</f>
        <v>1073.9856801909461</v>
      </c>
      <c r="G59" s="105">
        <v>84.4</v>
      </c>
      <c r="H59" s="103">
        <f>IF(ISNUMBER(G59), (G59 - $B59) / $B59, "")</f>
        <v>7.1599045346063071E-3</v>
      </c>
      <c r="I59" s="106">
        <f>IF(ISNUMBER(G59), $B64 * H59, "")</f>
        <v>1073.9856801909461</v>
      </c>
      <c r="J59" s="102">
        <v>84.4</v>
      </c>
      <c r="K59" s="103">
        <f>IF(ISNUMBER(J59), (J59 - $B59) / $B59, "")</f>
        <v>7.1599045346063071E-3</v>
      </c>
      <c r="L59" s="104">
        <f>IF(ISNUMBER(J59), $B64 * K59, "")</f>
        <v>1073.9856801909461</v>
      </c>
      <c r="M59" s="105">
        <v>83.8</v>
      </c>
      <c r="N59" s="103">
        <f>IF(ISNUMBER(M59), (M59 - $B59) / $B59, "")</f>
        <v>0</v>
      </c>
      <c r="O59" s="104">
        <f>IF(ISNUMBER(M59), $B64 * N59, "")</f>
        <v>0</v>
      </c>
      <c r="Q59" s="275"/>
      <c r="R59" s="275"/>
      <c r="S59" s="275"/>
    </row>
    <row r="60" spans="1:19" ht="17.25" customHeight="1" thickBot="1">
      <c r="A60" s="124" t="s">
        <v>268</v>
      </c>
      <c r="B60" s="125">
        <v>93.4</v>
      </c>
      <c r="C60" s="73">
        <v>-1.37275607E-2</v>
      </c>
      <c r="D60" s="15">
        <v>93.5</v>
      </c>
      <c r="E60" s="32">
        <f t="shared" ref="E60:E63" si="26">IF(ISNUMBER(D60), (D60 - $B60) / $B60, "")</f>
        <v>1.0706638115631083E-3</v>
      </c>
      <c r="F60" s="18">
        <f>IF(ISNUMBER(D60), $B64 * E60, "")</f>
        <v>160.59957173446625</v>
      </c>
      <c r="G60" s="31">
        <v>93.4</v>
      </c>
      <c r="H60" s="32">
        <f t="shared" ref="H60:H63" si="27">IF(ISNUMBER(G60), (G60 - $B60) / $B60, "")</f>
        <v>0</v>
      </c>
      <c r="I60" s="97">
        <f>IF(ISNUMBER(G60), $B64 * H60, "")</f>
        <v>0</v>
      </c>
      <c r="J60" s="15">
        <v>93.4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92.3</v>
      </c>
      <c r="N60" s="32">
        <f t="shared" ref="N60:N63" si="29">IF(ISNUMBER(M60), (M60 - $B60) / $B60, "")</f>
        <v>-1.1777301927194951E-2</v>
      </c>
      <c r="O60" s="18">
        <f>IF(ISNUMBER(M60), $B64 * N60, "")</f>
        <v>-1766.5952890792428</v>
      </c>
      <c r="Q60" s="275"/>
      <c r="R60" s="275"/>
      <c r="S60" s="275"/>
    </row>
    <row r="61" spans="1:19" ht="17.25" customHeight="1" thickBot="1">
      <c r="A61" s="124" t="s">
        <v>220</v>
      </c>
      <c r="B61" s="125">
        <v>20.6</v>
      </c>
      <c r="C61" s="73">
        <v>-1.4354067E-2</v>
      </c>
      <c r="D61" s="15">
        <v>20.5</v>
      </c>
      <c r="E61" s="32">
        <f t="shared" si="26"/>
        <v>-4.8543689320389039E-3</v>
      </c>
      <c r="F61" s="18">
        <f>IF(ISNUMBER(D61), $B64 * E61, "")</f>
        <v>-728.15533980583564</v>
      </c>
      <c r="G61" s="31">
        <v>20.399999999999999</v>
      </c>
      <c r="H61" s="32">
        <f t="shared" si="27"/>
        <v>-9.7087378640778078E-3</v>
      </c>
      <c r="I61" s="97">
        <f>IF(ISNUMBER(G61), $B64 * H61, "")</f>
        <v>-1456.3106796116713</v>
      </c>
      <c r="J61" s="15">
        <v>20.7</v>
      </c>
      <c r="K61" s="32">
        <f t="shared" si="28"/>
        <v>4.8543689320387313E-3</v>
      </c>
      <c r="L61" s="18">
        <f>IF(ISNUMBER(J61), $B64 * K61, "")</f>
        <v>728.15533980580972</v>
      </c>
      <c r="M61" s="31">
        <v>20.399999999999999</v>
      </c>
      <c r="N61" s="32">
        <f t="shared" si="29"/>
        <v>-9.7087378640778078E-3</v>
      </c>
      <c r="O61" s="18">
        <f>IF(ISNUMBER(M61), $B64 * N61, "")</f>
        <v>-1456.3106796116713</v>
      </c>
      <c r="Q61" s="275"/>
      <c r="R61" s="275"/>
      <c r="S61" s="275"/>
    </row>
    <row r="62" spans="1:19" ht="17.25" customHeight="1">
      <c r="A62" s="124" t="s">
        <v>266</v>
      </c>
      <c r="B62" s="125">
        <v>94.2</v>
      </c>
      <c r="C62" s="73">
        <v>-2.28215768E-2</v>
      </c>
      <c r="D62" s="15">
        <v>92.2</v>
      </c>
      <c r="E62" s="32">
        <f t="shared" si="26"/>
        <v>-2.1231422505307854E-2</v>
      </c>
      <c r="F62" s="18">
        <f>IF(ISNUMBER(D62), $B64 * E62, "")</f>
        <v>-3184.7133757961783</v>
      </c>
      <c r="G62" s="31">
        <v>92.8</v>
      </c>
      <c r="H62" s="32">
        <f t="shared" si="27"/>
        <v>-1.4861995753715558E-2</v>
      </c>
      <c r="I62" s="97">
        <f>IF(ISNUMBER(G62), $B64 * H62, "")</f>
        <v>-2229.2993630573337</v>
      </c>
      <c r="J62" s="15">
        <v>92.9</v>
      </c>
      <c r="K62" s="32">
        <f t="shared" si="28"/>
        <v>-1.3800424628450075E-2</v>
      </c>
      <c r="L62" s="18">
        <f>IF(ISNUMBER(J62), $B64 * K62, "")</f>
        <v>-2070.0636942675114</v>
      </c>
      <c r="M62" s="31">
        <v>92.4</v>
      </c>
      <c r="N62" s="32">
        <f t="shared" si="29"/>
        <v>-1.9108280254777038E-2</v>
      </c>
      <c r="O62" s="18">
        <f>IF(ISNUMBER(M62), $B64 * N62, "")</f>
        <v>-2866.2420382165556</v>
      </c>
      <c r="Q62" s="297"/>
      <c r="R62" s="298"/>
      <c r="S62" s="299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00"/>
      <c r="R63" s="301"/>
      <c r="S63" s="302"/>
    </row>
    <row r="64" spans="1:19" ht="17.25" customHeight="1" thickBot="1">
      <c r="A64" s="131" t="s">
        <v>301</v>
      </c>
      <c r="B64" s="308">
        <f>$B$37</f>
        <v>150000</v>
      </c>
      <c r="C64" s="309"/>
      <c r="D64" s="26" t="s">
        <v>302</v>
      </c>
      <c r="E64" s="27">
        <f>IF(COUNT(E44:E63), SUM(E44:E63) / COUNT(E44:E63), 0)</f>
        <v>-2.115107909134107E-2</v>
      </c>
      <c r="F64" s="28">
        <f>SUM(F44:F63)</f>
        <v>-60280.575410322046</v>
      </c>
      <c r="G64" s="26" t="s">
        <v>302</v>
      </c>
      <c r="H64" s="27">
        <f>IF(COUNT(H44:H63), SUM(H44:H63) / COUNT(H44:H63), 0)</f>
        <v>-1.7440455280766792E-2</v>
      </c>
      <c r="I64" s="28">
        <f>SUM(I44:I63)</f>
        <v>-49705.297550185358</v>
      </c>
      <c r="J64" s="26" t="s">
        <v>302</v>
      </c>
      <c r="K64" s="27">
        <f>IF(COUNT(K44:K63), SUM(K44:K63) / COUNT(K44:K63), 0)</f>
        <v>-1.6166954125806803E-2</v>
      </c>
      <c r="L64" s="28">
        <f>SUM(L44:L63)</f>
        <v>-46075.819258549382</v>
      </c>
      <c r="M64" s="26" t="s">
        <v>302</v>
      </c>
      <c r="N64" s="27">
        <f>IF(COUNT(N44:N63), SUM(N44:N63) / COUNT(N44:N63), 0)</f>
        <v>-1.9152051872762893E-2</v>
      </c>
      <c r="O64" s="28">
        <f>SUM(O44:O63)</f>
        <v>-54583.347837374262</v>
      </c>
      <c r="Q64" s="303"/>
      <c r="R64" s="304"/>
      <c r="S64" s="305"/>
    </row>
    <row r="65" spans="1:19" ht="17.25" customHeight="1"/>
    <row r="66" spans="1:19" ht="17.25" customHeight="1" thickBot="1"/>
    <row r="67" spans="1:19" ht="17.25" thickBot="1">
      <c r="A67" s="249" t="s">
        <v>45</v>
      </c>
      <c r="B67" s="250"/>
      <c r="C67" s="250"/>
      <c r="D67" s="250"/>
      <c r="E67" s="250"/>
      <c r="F67" s="250"/>
      <c r="G67" s="250"/>
      <c r="H67" s="250"/>
      <c r="I67" s="250"/>
      <c r="J67" s="250"/>
      <c r="K67" s="250"/>
      <c r="L67" s="250"/>
      <c r="M67" s="250"/>
      <c r="N67" s="250"/>
      <c r="O67" s="251"/>
      <c r="Q67" s="270"/>
      <c r="R67" s="270"/>
      <c r="S67" s="270"/>
    </row>
    <row r="68" spans="1:19" ht="17.25" thickBot="1">
      <c r="A68" s="167" t="s">
        <v>298</v>
      </c>
      <c r="B68" s="249" t="s">
        <v>49</v>
      </c>
      <c r="C68" s="251"/>
      <c r="D68" s="249" t="s">
        <v>58</v>
      </c>
      <c r="E68" s="250"/>
      <c r="F68" s="251"/>
      <c r="G68" s="276">
        <f>_xlfn.IFNA(VLOOKUP(B68, 현재가테이블!$B$2:$D$200, 2, FALSE), "-")</f>
        <v>60874000</v>
      </c>
      <c r="H68" s="277"/>
      <c r="I68" s="278"/>
      <c r="J68" s="249" t="s">
        <v>59</v>
      </c>
      <c r="K68" s="250"/>
      <c r="L68" s="251"/>
      <c r="M68" s="279">
        <f>_xlfn.IFNA(VLOOKUP(B68, 현재가테이블!$B$2:$D$200, 3, FALSE), "-")</f>
        <v>-1.4936000099999999E-2</v>
      </c>
      <c r="N68" s="280"/>
      <c r="O68" s="281"/>
      <c r="Q68" s="270"/>
      <c r="R68" s="270"/>
      <c r="S68" s="270"/>
    </row>
    <row r="69" spans="1:19" ht="17.25" thickBot="1">
      <c r="A69" s="310" t="s">
        <v>55</v>
      </c>
      <c r="B69" s="312" t="str">
        <f>TEXT($G$1, "[$-ko-KR]yyyy-mm-dd(ddd) ") &amp; "오전 00:00"</f>
        <v>2021-05-08(토) 오전 00:00</v>
      </c>
      <c r="C69" s="313"/>
      <c r="D69" s="272" t="str">
        <f>TEXT($G$1, "[$-ko-KR]yyyy-mm-dd(ddd) ") &amp; "오후 14:00"</f>
        <v>2021-05-08(토) 오후 14:00</v>
      </c>
      <c r="E69" s="273"/>
      <c r="F69" s="274"/>
      <c r="G69" s="272" t="str">
        <f>TEXT($G$1, "[$-ko-KR]yyyy-mm-dd(ddd) ") &amp; "오후 19:00"</f>
        <v>2021-05-08(토) 오후 19:00</v>
      </c>
      <c r="H69" s="273"/>
      <c r="I69" s="274"/>
      <c r="J69" s="272" t="str">
        <f>TEXT($G$1, "[$-ko-KR]yyyy-mm-dd(ddd) ") &amp; "오후 21:00"</f>
        <v>2021-05-08(토) 오후 21:00</v>
      </c>
      <c r="K69" s="273"/>
      <c r="L69" s="274"/>
      <c r="M69" s="272" t="str">
        <f>TEXT($G$1+1, "[$-ko-KR]yyyy-mm-dd(ddd) ") &amp; "오전 00:00"</f>
        <v>2021-05-09(일) 오전 00:00</v>
      </c>
      <c r="N69" s="273"/>
      <c r="O69" s="274"/>
      <c r="Q69" s="270"/>
      <c r="R69" s="270"/>
      <c r="S69" s="270"/>
    </row>
    <row r="70" spans="1:19" ht="17.25" thickBot="1">
      <c r="A70" s="311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8" t="s">
        <v>58</v>
      </c>
      <c r="H70" s="169" t="s">
        <v>299</v>
      </c>
      <c r="I70" s="17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75"/>
      <c r="R70" s="275"/>
      <c r="S70" s="275"/>
    </row>
    <row r="71" spans="1:19" ht="17.25" thickBot="1">
      <c r="A71" s="122" t="s">
        <v>216</v>
      </c>
      <c r="B71" s="123">
        <v>555</v>
      </c>
      <c r="C71" s="72">
        <v>0.21179039299999999</v>
      </c>
      <c r="D71" s="13">
        <v>491</v>
      </c>
      <c r="E71" s="14">
        <f>IF(ISNUMBER(D71), (D71 - $B71) / $B71, "")</f>
        <v>-0.11531531531531532</v>
      </c>
      <c r="F71" s="16">
        <f>IF(ISNUMBER(D71), $B91 * E71, "")</f>
        <v>-17297.297297297297</v>
      </c>
      <c r="G71" s="29">
        <v>525</v>
      </c>
      <c r="H71" s="14">
        <f>IF(ISNUMBER(G71), (G71 - $B71) / $B71, "")</f>
        <v>-5.4054054054054057E-2</v>
      </c>
      <c r="I71" s="96">
        <f>IF(ISNUMBER(G71), $B91 * H71, "")</f>
        <v>-8108.1081081081084</v>
      </c>
      <c r="J71" s="13">
        <v>515</v>
      </c>
      <c r="K71" s="14">
        <f>IF(ISNUMBER(J71), (J71 - $B71) / $B71, "")</f>
        <v>-7.2072072072072071E-2</v>
      </c>
      <c r="L71" s="16">
        <f>IF(ISNUMBER(J71), $B91 * K71, "")</f>
        <v>-10810.81081081081</v>
      </c>
      <c r="M71" s="29">
        <v>508</v>
      </c>
      <c r="N71" s="14">
        <f>IF(ISNUMBER(M71), (M71 - $B71) / $B71, "")</f>
        <v>-8.468468468468468E-2</v>
      </c>
      <c r="O71" s="16">
        <f>IF(ISNUMBER(M71), $B91 * N71, "")</f>
        <v>-12702.702702702702</v>
      </c>
      <c r="Q71" s="270"/>
      <c r="R71" s="270"/>
      <c r="S71" s="270"/>
    </row>
    <row r="72" spans="1:19" ht="17.25" thickBot="1">
      <c r="A72" s="124" t="s">
        <v>170</v>
      </c>
      <c r="B72" s="125">
        <v>615</v>
      </c>
      <c r="C72" s="73">
        <v>0.1452513966</v>
      </c>
      <c r="D72" s="15">
        <v>553</v>
      </c>
      <c r="E72" s="32">
        <f t="shared" ref="E72:E75" si="30">IF(ISNUMBER(D72), (D72 - $B72) / $B72, "")</f>
        <v>-0.1008130081300813</v>
      </c>
      <c r="F72" s="18">
        <f>IF(ISNUMBER(D72), $B91 * E72, "")</f>
        <v>-15121.951219512195</v>
      </c>
      <c r="G72" s="31">
        <v>563</v>
      </c>
      <c r="H72" s="32">
        <f t="shared" ref="H72:H75" si="31">IF(ISNUMBER(G72), (G72 - $B72) / $B72, "")</f>
        <v>-8.4552845528455281E-2</v>
      </c>
      <c r="I72" s="97">
        <f>IF(ISNUMBER(G72), $B91 * H72, "")</f>
        <v>-12682.926829268292</v>
      </c>
      <c r="J72" s="15">
        <v>563</v>
      </c>
      <c r="K72" s="32">
        <f t="shared" ref="K72:K75" si="32">IF(ISNUMBER(J72), (J72 - $B72) / $B72, "")</f>
        <v>-8.4552845528455281E-2</v>
      </c>
      <c r="L72" s="18">
        <f>IF(ISNUMBER(J72), $B91 * K72, "")</f>
        <v>-12682.926829268292</v>
      </c>
      <c r="M72" s="31">
        <v>557</v>
      </c>
      <c r="N72" s="32">
        <f t="shared" ref="N72:N75" si="33">IF(ISNUMBER(M72), (M72 - $B72) / $B72, "")</f>
        <v>-9.4308943089430899E-2</v>
      </c>
      <c r="O72" s="18">
        <f>IF(ISNUMBER(M72), $B91 * N72, "")</f>
        <v>-14146.341463414636</v>
      </c>
      <c r="Q72" s="270"/>
      <c r="R72" s="270"/>
      <c r="S72" s="270"/>
    </row>
    <row r="73" spans="1:19" ht="17.25" thickBot="1">
      <c r="A73" s="124" t="s">
        <v>132</v>
      </c>
      <c r="B73" s="125">
        <v>291</v>
      </c>
      <c r="C73" s="73">
        <v>0.1022727273</v>
      </c>
      <c r="D73" s="15">
        <v>271</v>
      </c>
      <c r="E73" s="32">
        <f t="shared" si="30"/>
        <v>-6.8728522336769765E-2</v>
      </c>
      <c r="F73" s="18">
        <f>IF(ISNUMBER(D73), $B91 * E73, "")</f>
        <v>-10309.278350515464</v>
      </c>
      <c r="G73" s="31">
        <v>276</v>
      </c>
      <c r="H73" s="32">
        <f t="shared" si="31"/>
        <v>-5.1546391752577317E-2</v>
      </c>
      <c r="I73" s="97">
        <f>IF(ISNUMBER(G73), $B91 * H73, "")</f>
        <v>-7731.9587628865975</v>
      </c>
      <c r="J73" s="15">
        <v>279</v>
      </c>
      <c r="K73" s="32">
        <f t="shared" si="32"/>
        <v>-4.1237113402061855E-2</v>
      </c>
      <c r="L73" s="18">
        <f>IF(ISNUMBER(J73), $B91 * K73, "")</f>
        <v>-6185.567010309278</v>
      </c>
      <c r="M73" s="31">
        <v>273</v>
      </c>
      <c r="N73" s="32">
        <f t="shared" si="33"/>
        <v>-6.1855670103092786E-2</v>
      </c>
      <c r="O73" s="18">
        <f>IF(ISNUMBER(M73), $B91 * N73, "")</f>
        <v>-9278.350515463917</v>
      </c>
      <c r="Q73" s="275"/>
      <c r="R73" s="275"/>
      <c r="S73" s="275"/>
    </row>
    <row r="74" spans="1:19" ht="17.25" thickBot="1">
      <c r="A74" s="124" t="s">
        <v>134</v>
      </c>
      <c r="B74" s="125">
        <v>166</v>
      </c>
      <c r="C74" s="73">
        <v>9.2105263199999995E-2</v>
      </c>
      <c r="D74" s="15">
        <v>164</v>
      </c>
      <c r="E74" s="32">
        <f t="shared" si="30"/>
        <v>-1.2048192771084338E-2</v>
      </c>
      <c r="F74" s="18">
        <f>IF(ISNUMBER(D74), $B91 * E74, "")</f>
        <v>-1807.2289156626507</v>
      </c>
      <c r="G74" s="31">
        <v>164</v>
      </c>
      <c r="H74" s="32">
        <f t="shared" si="31"/>
        <v>-1.2048192771084338E-2</v>
      </c>
      <c r="I74" s="97">
        <f>IF(ISNUMBER(G74), $B91 * H74, "")</f>
        <v>-1807.2289156626507</v>
      </c>
      <c r="J74" s="15">
        <v>163</v>
      </c>
      <c r="K74" s="32">
        <f t="shared" si="32"/>
        <v>-1.8072289156626505E-2</v>
      </c>
      <c r="L74" s="18">
        <f>IF(ISNUMBER(J74), $B91 * K74, "")</f>
        <v>-2710.8433734939758</v>
      </c>
      <c r="M74" s="31">
        <v>164</v>
      </c>
      <c r="N74" s="32">
        <f t="shared" si="33"/>
        <v>-1.2048192771084338E-2</v>
      </c>
      <c r="O74" s="18">
        <f>IF(ISNUMBER(M74), $B91 * N74, "")</f>
        <v>-1807.2289156626507</v>
      </c>
      <c r="Q74" s="275"/>
      <c r="R74" s="275"/>
      <c r="S74" s="275"/>
    </row>
    <row r="75" spans="1:19" ht="17.25" thickBot="1">
      <c r="A75" s="126" t="s">
        <v>284</v>
      </c>
      <c r="B75" s="127">
        <v>538</v>
      </c>
      <c r="C75" s="74">
        <v>8.2494969799999998E-2</v>
      </c>
      <c r="D75" s="20">
        <v>504</v>
      </c>
      <c r="E75" s="21">
        <f t="shared" si="30"/>
        <v>-6.3197026022304828E-2</v>
      </c>
      <c r="F75" s="22">
        <f>IF(ISNUMBER(D75), $B91 * E75, "")</f>
        <v>-9479.5539033457244</v>
      </c>
      <c r="G75" s="30">
        <v>519</v>
      </c>
      <c r="H75" s="21">
        <f t="shared" si="31"/>
        <v>-3.5315985130111527E-2</v>
      </c>
      <c r="I75" s="101">
        <f>IF(ISNUMBER(G75), $B91 * H75, "")</f>
        <v>-5297.3977695167287</v>
      </c>
      <c r="J75" s="20">
        <v>517</v>
      </c>
      <c r="K75" s="21">
        <f t="shared" si="32"/>
        <v>-3.9033457249070633E-2</v>
      </c>
      <c r="L75" s="22">
        <f>IF(ISNUMBER(J75), $B91 * K75, "")</f>
        <v>-5855.0185873605951</v>
      </c>
      <c r="M75" s="30">
        <v>534</v>
      </c>
      <c r="N75" s="21">
        <f t="shared" si="33"/>
        <v>-7.4349442379182153E-3</v>
      </c>
      <c r="O75" s="22">
        <f>IF(ISNUMBER(M75), $B91 * N75, "")</f>
        <v>-1115.2416356877322</v>
      </c>
      <c r="Q75" s="275"/>
      <c r="R75" s="275"/>
      <c r="S75" s="275"/>
    </row>
    <row r="76" spans="1:19" ht="17.25" thickBot="1">
      <c r="A76" s="124" t="s">
        <v>270</v>
      </c>
      <c r="B76" s="128">
        <v>653</v>
      </c>
      <c r="C76" s="76">
        <v>7.7557755800000003E-2</v>
      </c>
      <c r="D76" s="102">
        <v>619</v>
      </c>
      <c r="E76" s="103">
        <f>IF(ISNUMBER(D76), (D76 - $B76) / $B76, "")</f>
        <v>-5.2067381316998472E-2</v>
      </c>
      <c r="F76" s="104">
        <f>IF(ISNUMBER(D76), $B91 * E76, "")</f>
        <v>-7810.1071975497707</v>
      </c>
      <c r="G76" s="105">
        <v>633</v>
      </c>
      <c r="H76" s="103">
        <f>IF(ISNUMBER(G76), (G76 - $B76) / $B76, "")</f>
        <v>-3.0627871362940276E-2</v>
      </c>
      <c r="I76" s="106">
        <f>IF(ISNUMBER(G76), $B91 * H76, "")</f>
        <v>-4594.1807044410416</v>
      </c>
      <c r="J76" s="102">
        <v>639</v>
      </c>
      <c r="K76" s="103">
        <f>IF(ISNUMBER(J76), (J76 - $B76) / $B76, "")</f>
        <v>-2.1439509954058193E-2</v>
      </c>
      <c r="L76" s="104">
        <f>IF(ISNUMBER(J76), $B91 * K76, "")</f>
        <v>-3215.9264931087287</v>
      </c>
      <c r="M76" s="105">
        <v>617</v>
      </c>
      <c r="N76" s="103">
        <f>IF(ISNUMBER(M76), (M76 - $B76) / $B76, "")</f>
        <v>-5.5130168453292494E-2</v>
      </c>
      <c r="O76" s="104">
        <f>IF(ISNUMBER(M76), $B91 * N76, "")</f>
        <v>-8269.5252679938749</v>
      </c>
      <c r="Q76" s="275"/>
      <c r="R76" s="275"/>
      <c r="S76" s="275"/>
    </row>
    <row r="77" spans="1:19" ht="17.25" thickBot="1">
      <c r="A77" s="124" t="s">
        <v>182</v>
      </c>
      <c r="B77" s="125">
        <v>569</v>
      </c>
      <c r="C77" s="73">
        <v>7.5614366700000005E-2</v>
      </c>
      <c r="D77" s="15">
        <v>529</v>
      </c>
      <c r="E77" s="32">
        <f t="shared" ref="E77:E80" si="34">IF(ISNUMBER(D77), (D77 - $B77) / $B77, "")</f>
        <v>-7.0298769771529004E-2</v>
      </c>
      <c r="F77" s="18">
        <f>IF(ISNUMBER(D77), $B91 * E77, "")</f>
        <v>-10544.815465729351</v>
      </c>
      <c r="G77" s="31">
        <v>558</v>
      </c>
      <c r="H77" s="32">
        <f t="shared" ref="H77:H80" si="35">IF(ISNUMBER(G77), (G77 - $B77) / $B77, "")</f>
        <v>-1.9332161687170474E-2</v>
      </c>
      <c r="I77" s="97">
        <f>IF(ISNUMBER(G77), $B91 * H77, "")</f>
        <v>-2899.8242530755711</v>
      </c>
      <c r="J77" s="15">
        <v>568</v>
      </c>
      <c r="K77" s="32">
        <f t="shared" ref="K77:K80" si="36">IF(ISNUMBER(J77), (J77 - $B77) / $B77, "")</f>
        <v>-1.7574692442882249E-3</v>
      </c>
      <c r="L77" s="18">
        <f>IF(ISNUMBER(J77), $B91 * K77, "")</f>
        <v>-263.6203866432337</v>
      </c>
      <c r="M77" s="31">
        <v>567</v>
      </c>
      <c r="N77" s="32">
        <f t="shared" ref="N77:N80" si="37">IF(ISNUMBER(M77), (M77 - $B77) / $B77, "")</f>
        <v>-3.5149384885764497E-3</v>
      </c>
      <c r="O77" s="18">
        <f>IF(ISNUMBER(M77), $B91 * N77, "")</f>
        <v>-527.2407732864674</v>
      </c>
      <c r="Q77" s="275"/>
      <c r="R77" s="275"/>
      <c r="S77" s="275"/>
    </row>
    <row r="78" spans="1:19" ht="17.25" thickBot="1">
      <c r="A78" s="124" t="s">
        <v>128</v>
      </c>
      <c r="B78" s="125">
        <v>752</v>
      </c>
      <c r="C78" s="73">
        <v>5.9154929600000003E-2</v>
      </c>
      <c r="D78" s="15">
        <v>738</v>
      </c>
      <c r="E78" s="32">
        <f t="shared" si="34"/>
        <v>-1.8617021276595744E-2</v>
      </c>
      <c r="F78" s="18">
        <f>IF(ISNUMBER(D78), $B91 * E78, "")</f>
        <v>-2792.5531914893618</v>
      </c>
      <c r="G78" s="31">
        <v>786</v>
      </c>
      <c r="H78" s="32">
        <f t="shared" si="35"/>
        <v>4.5212765957446811E-2</v>
      </c>
      <c r="I78" s="97">
        <f>IF(ISNUMBER(G78), $B91 * H78, "")</f>
        <v>6781.9148936170213</v>
      </c>
      <c r="J78" s="15">
        <v>795</v>
      </c>
      <c r="K78" s="32">
        <f t="shared" si="36"/>
        <v>5.7180851063829786E-2</v>
      </c>
      <c r="L78" s="18">
        <f>IF(ISNUMBER(J78), $B91 * K78, "")</f>
        <v>8577.1276595744675</v>
      </c>
      <c r="M78" s="31">
        <v>746</v>
      </c>
      <c r="N78" s="32">
        <f t="shared" si="37"/>
        <v>-7.9787234042553185E-3</v>
      </c>
      <c r="O78" s="18">
        <f>IF(ISNUMBER(M78), $B91 * N78, "")</f>
        <v>-1196.8085106382978</v>
      </c>
      <c r="Q78" s="275"/>
      <c r="R78" s="275"/>
      <c r="S78" s="275"/>
    </row>
    <row r="79" spans="1:19" ht="17.25" thickBot="1">
      <c r="A79" s="124" t="s">
        <v>142</v>
      </c>
      <c r="B79" s="125">
        <v>496</v>
      </c>
      <c r="C79" s="73">
        <v>5.7569296399999997E-2</v>
      </c>
      <c r="D79" s="15">
        <v>468</v>
      </c>
      <c r="E79" s="32">
        <f t="shared" si="34"/>
        <v>-5.6451612903225805E-2</v>
      </c>
      <c r="F79" s="18">
        <f>IF(ISNUMBER(D79), $B91 * E79, "")</f>
        <v>-8467.7419354838712</v>
      </c>
      <c r="G79" s="31">
        <v>496</v>
      </c>
      <c r="H79" s="32">
        <f t="shared" si="35"/>
        <v>0</v>
      </c>
      <c r="I79" s="97">
        <f>IF(ISNUMBER(G79), $B91 * H79, "")</f>
        <v>0</v>
      </c>
      <c r="J79" s="15">
        <v>490</v>
      </c>
      <c r="K79" s="32">
        <f t="shared" si="36"/>
        <v>-1.2096774193548387E-2</v>
      </c>
      <c r="L79" s="18">
        <f>IF(ISNUMBER(J79), $B91 * K79, "")</f>
        <v>-1814.516129032258</v>
      </c>
      <c r="M79" s="31">
        <v>482</v>
      </c>
      <c r="N79" s="32">
        <f t="shared" si="37"/>
        <v>-2.8225806451612902E-2</v>
      </c>
      <c r="O79" s="18">
        <f>IF(ISNUMBER(M79), $B91 * N79, "")</f>
        <v>-4233.8709677419356</v>
      </c>
      <c r="Q79" s="33"/>
      <c r="R79" s="33"/>
    </row>
    <row r="80" spans="1:19" ht="17.25" thickBot="1">
      <c r="A80" s="129" t="s">
        <v>112</v>
      </c>
      <c r="B80" s="130">
        <v>263</v>
      </c>
      <c r="C80" s="75">
        <v>5.1999999999999998E-2</v>
      </c>
      <c r="D80" s="24">
        <v>260</v>
      </c>
      <c r="E80" s="25">
        <f t="shared" si="34"/>
        <v>-1.1406844106463879E-2</v>
      </c>
      <c r="F80" s="100">
        <f>IF(ISNUMBER(D80), $B91 * E80, "")</f>
        <v>-1711.0266159695818</v>
      </c>
      <c r="G80" s="98">
        <v>261</v>
      </c>
      <c r="H80" s="25">
        <f t="shared" si="35"/>
        <v>-7.6045627376425855E-3</v>
      </c>
      <c r="I80" s="99">
        <f>IF(ISNUMBER(G80), $B91 * H80, "")</f>
        <v>-1140.6844106463877</v>
      </c>
      <c r="J80" s="24">
        <v>262</v>
      </c>
      <c r="K80" s="25">
        <f t="shared" si="36"/>
        <v>-3.8022813688212928E-3</v>
      </c>
      <c r="L80" s="100">
        <f>IF(ISNUMBER(J80), $B91 * K80, "")</f>
        <v>-570.34220532319387</v>
      </c>
      <c r="M80" s="98">
        <v>260</v>
      </c>
      <c r="N80" s="25">
        <f t="shared" si="37"/>
        <v>-1.1406844106463879E-2</v>
      </c>
      <c r="O80" s="100">
        <f>IF(ISNUMBER(M80), $B91 * N80, "")</f>
        <v>-1711.0266159695818</v>
      </c>
      <c r="Q80" s="284"/>
      <c r="R80" s="285"/>
      <c r="S80" s="286"/>
    </row>
    <row r="81" spans="1:19">
      <c r="A81" s="122" t="s">
        <v>57</v>
      </c>
      <c r="B81" s="123">
        <v>498</v>
      </c>
      <c r="C81" s="72">
        <v>5.0632911400000001E-2</v>
      </c>
      <c r="D81" s="13">
        <v>471</v>
      </c>
      <c r="E81" s="14">
        <f>IF(ISNUMBER(D81), (D81 - $B81) / $B81, "")</f>
        <v>-5.4216867469879519E-2</v>
      </c>
      <c r="F81" s="16">
        <f>IF(ISNUMBER(D81), $B91 * E81, "")</f>
        <v>-8132.530120481928</v>
      </c>
      <c r="G81" s="29">
        <v>479</v>
      </c>
      <c r="H81" s="14">
        <f>IF(ISNUMBER(G81), (G81 - $B81) / $B81, "")</f>
        <v>-3.8152610441767071E-2</v>
      </c>
      <c r="I81" s="96">
        <f>IF(ISNUMBER(G81), $B91 * H81, "")</f>
        <v>-5722.8915662650606</v>
      </c>
      <c r="J81" s="13">
        <v>481</v>
      </c>
      <c r="K81" s="14">
        <f>IF(ISNUMBER(J81), (J81 - $B81) / $B81, "")</f>
        <v>-3.4136546184738957E-2</v>
      </c>
      <c r="L81" s="16">
        <f>IF(ISNUMBER(J81), $B91 * K81, "")</f>
        <v>-5120.4819277108436</v>
      </c>
      <c r="M81" s="29">
        <v>471</v>
      </c>
      <c r="N81" s="14">
        <f>IF(ISNUMBER(M81), (M81 - $B81) / $B81, "")</f>
        <v>-5.4216867469879519E-2</v>
      </c>
      <c r="O81" s="16">
        <f>IF(ISNUMBER(M81), $B91 * N81, "")</f>
        <v>-8132.530120481928</v>
      </c>
      <c r="Q81" s="287"/>
      <c r="R81" s="288"/>
      <c r="S81" s="289"/>
    </row>
    <row r="82" spans="1:19" ht="17.25" thickBot="1">
      <c r="A82" s="124" t="s">
        <v>264</v>
      </c>
      <c r="B82" s="125">
        <v>190</v>
      </c>
      <c r="C82" s="73">
        <v>4.9723756899999999E-2</v>
      </c>
      <c r="D82" s="15">
        <v>183</v>
      </c>
      <c r="E82" s="32">
        <f t="shared" ref="E82:E85" si="38">IF(ISNUMBER(D82), (D82 - $B82) / $B82, "")</f>
        <v>-3.6842105263157891E-2</v>
      </c>
      <c r="F82" s="18">
        <f>IF(ISNUMBER(D82), $B91 * E82, "")</f>
        <v>-5526.3157894736833</v>
      </c>
      <c r="G82" s="31">
        <v>184</v>
      </c>
      <c r="H82" s="32">
        <f t="shared" ref="H82:H85" si="39">IF(ISNUMBER(G82), (G82 - $B82) / $B82, "")</f>
        <v>-3.1578947368421054E-2</v>
      </c>
      <c r="I82" s="97">
        <f>IF(ISNUMBER(G82), $B91 * H82, "")</f>
        <v>-4736.8421052631584</v>
      </c>
      <c r="J82" s="15">
        <v>187</v>
      </c>
      <c r="K82" s="32">
        <f t="shared" ref="K82:K85" si="40">IF(ISNUMBER(J82), (J82 - $B82) / $B82, "")</f>
        <v>-1.5789473684210527E-2</v>
      </c>
      <c r="L82" s="18">
        <f>IF(ISNUMBER(J82), $B91 * K82, "")</f>
        <v>-2368.4210526315792</v>
      </c>
      <c r="M82" s="31">
        <v>184</v>
      </c>
      <c r="N82" s="32">
        <f t="shared" ref="N82:N85" si="41">IF(ISNUMBER(M82), (M82 - $B82) / $B82, "")</f>
        <v>-3.1578947368421054E-2</v>
      </c>
      <c r="O82" s="18">
        <f>IF(ISNUMBER(M82), $B91 * N82, "")</f>
        <v>-4736.8421052631584</v>
      </c>
      <c r="Q82" s="290"/>
      <c r="R82" s="291"/>
      <c r="S82" s="292"/>
    </row>
    <row r="83" spans="1:19" ht="17.25" thickBot="1">
      <c r="A83" s="124" t="s">
        <v>232</v>
      </c>
      <c r="B83" s="125">
        <v>176</v>
      </c>
      <c r="C83" s="73">
        <v>4.1420118300000003E-2</v>
      </c>
      <c r="D83" s="15">
        <v>181</v>
      </c>
      <c r="E83" s="32">
        <f t="shared" si="38"/>
        <v>2.8409090909090908E-2</v>
      </c>
      <c r="F83" s="18">
        <f>IF(ISNUMBER(D83), $B91 * E83, "")</f>
        <v>4261.363636363636</v>
      </c>
      <c r="G83" s="31">
        <v>181</v>
      </c>
      <c r="H83" s="32">
        <f t="shared" si="39"/>
        <v>2.8409090909090908E-2</v>
      </c>
      <c r="I83" s="97">
        <f>IF(ISNUMBER(G83), $B91 * H83, "")</f>
        <v>4261.363636363636</v>
      </c>
      <c r="J83" s="15">
        <v>181</v>
      </c>
      <c r="K83" s="32">
        <f t="shared" si="40"/>
        <v>2.8409090909090908E-2</v>
      </c>
      <c r="L83" s="18">
        <f>IF(ISNUMBER(J83), $B91 * K83, "")</f>
        <v>4261.363636363636</v>
      </c>
      <c r="M83" s="31">
        <v>183</v>
      </c>
      <c r="N83" s="32">
        <f t="shared" si="41"/>
        <v>3.9772727272727272E-2</v>
      </c>
      <c r="O83" s="18">
        <f>IF(ISNUMBER(M83), $B91 * N83, "")</f>
        <v>5965.909090909091</v>
      </c>
      <c r="Q83" s="275"/>
      <c r="R83" s="275"/>
      <c r="S83" s="275"/>
    </row>
    <row r="84" spans="1:19" ht="17.25" thickBot="1">
      <c r="A84" s="124" t="s">
        <v>278</v>
      </c>
      <c r="B84" s="125">
        <v>183</v>
      </c>
      <c r="C84" s="73">
        <v>3.9772727299999998E-2</v>
      </c>
      <c r="D84" s="15">
        <v>170</v>
      </c>
      <c r="E84" s="32">
        <f t="shared" si="38"/>
        <v>-7.1038251366120214E-2</v>
      </c>
      <c r="F84" s="18">
        <f>IF(ISNUMBER(D84), $B91 * E84, "")</f>
        <v>-10655.737704918032</v>
      </c>
      <c r="G84" s="31">
        <v>173</v>
      </c>
      <c r="H84" s="32">
        <f t="shared" si="39"/>
        <v>-5.4644808743169397E-2</v>
      </c>
      <c r="I84" s="97">
        <f>IF(ISNUMBER(G84), $B91 * H84, "")</f>
        <v>-8196.7213114754104</v>
      </c>
      <c r="J84" s="15">
        <v>174</v>
      </c>
      <c r="K84" s="32">
        <f t="shared" si="40"/>
        <v>-4.9180327868852458E-2</v>
      </c>
      <c r="L84" s="18">
        <f>IF(ISNUMBER(J84), $B91 * K84, "")</f>
        <v>-7377.0491803278683</v>
      </c>
      <c r="M84" s="31">
        <v>171</v>
      </c>
      <c r="N84" s="32">
        <f t="shared" si="41"/>
        <v>-6.5573770491803282E-2</v>
      </c>
      <c r="O84" s="18">
        <f>IF(ISNUMBER(M84), $B91 * N84, "")</f>
        <v>-9836.0655737704928</v>
      </c>
      <c r="Q84" s="270"/>
      <c r="R84" s="270"/>
      <c r="S84" s="270"/>
    </row>
    <row r="85" spans="1:19" ht="17.25" thickBot="1">
      <c r="A85" s="126" t="s">
        <v>174</v>
      </c>
      <c r="B85" s="127">
        <v>273</v>
      </c>
      <c r="C85" s="74">
        <v>1.8656716399999999E-2</v>
      </c>
      <c r="D85" s="20">
        <v>276</v>
      </c>
      <c r="E85" s="21">
        <f t="shared" si="38"/>
        <v>1.098901098901099E-2</v>
      </c>
      <c r="F85" s="22">
        <f>IF(ISNUMBER(D85), $B91 * E85, "")</f>
        <v>1648.3516483516485</v>
      </c>
      <c r="G85" s="30">
        <v>278</v>
      </c>
      <c r="H85" s="21">
        <f t="shared" si="39"/>
        <v>1.8315018315018316E-2</v>
      </c>
      <c r="I85" s="101">
        <f>IF(ISNUMBER(G85), $B91 * H85, "")</f>
        <v>2747.2527472527472</v>
      </c>
      <c r="J85" s="20">
        <v>279</v>
      </c>
      <c r="K85" s="21">
        <f t="shared" si="40"/>
        <v>2.197802197802198E-2</v>
      </c>
      <c r="L85" s="22">
        <f>IF(ISNUMBER(J85), $B91 * K85, "")</f>
        <v>3296.7032967032969</v>
      </c>
      <c r="M85" s="30">
        <v>276</v>
      </c>
      <c r="N85" s="21">
        <f t="shared" si="41"/>
        <v>1.098901098901099E-2</v>
      </c>
      <c r="O85" s="22">
        <f>IF(ISNUMBER(M85), $B91 * N85, "")</f>
        <v>1648.3516483516485</v>
      </c>
      <c r="Q85" s="270"/>
      <c r="R85" s="270"/>
      <c r="S85" s="270"/>
    </row>
    <row r="86" spans="1:19" ht="17.25" thickBot="1">
      <c r="A86" s="124" t="s">
        <v>252</v>
      </c>
      <c r="B86" s="128">
        <v>570</v>
      </c>
      <c r="C86" s="76">
        <v>1.7857142900000001E-2</v>
      </c>
      <c r="D86" s="102">
        <v>552</v>
      </c>
      <c r="E86" s="103">
        <f>IF(ISNUMBER(D86), (D86 - $B86) / $B86, "")</f>
        <v>-3.1578947368421054E-2</v>
      </c>
      <c r="F86" s="104">
        <f>IF(ISNUMBER(D86), $B91 * E86, "")</f>
        <v>-4736.8421052631584</v>
      </c>
      <c r="G86" s="105">
        <v>565</v>
      </c>
      <c r="H86" s="103">
        <f>IF(ISNUMBER(G86), (G86 - $B86) / $B86, "")</f>
        <v>-8.771929824561403E-3</v>
      </c>
      <c r="I86" s="106">
        <f>IF(ISNUMBER(G86), $B91 * H86, "")</f>
        <v>-1315.7894736842104</v>
      </c>
      <c r="J86" s="102">
        <v>565</v>
      </c>
      <c r="K86" s="103">
        <f>IF(ISNUMBER(J86), (J86 - $B86) / $B86, "")</f>
        <v>-8.771929824561403E-3</v>
      </c>
      <c r="L86" s="104">
        <f>IF(ISNUMBER(J86), $B91 * K86, "")</f>
        <v>-1315.7894736842104</v>
      </c>
      <c r="M86" s="105">
        <v>568</v>
      </c>
      <c r="N86" s="103">
        <f>IF(ISNUMBER(M86), (M86 - $B86) / $B86, "")</f>
        <v>-3.5087719298245615E-3</v>
      </c>
      <c r="O86" s="104">
        <f>IF(ISNUMBER(M86), $B91 * N86, "")</f>
        <v>-526.31578947368428</v>
      </c>
      <c r="Q86" s="275"/>
      <c r="R86" s="275"/>
      <c r="S86" s="275"/>
    </row>
    <row r="87" spans="1:19" ht="17.25" thickBot="1">
      <c r="A87" s="124" t="s">
        <v>282</v>
      </c>
      <c r="B87" s="125">
        <v>177</v>
      </c>
      <c r="C87" s="73">
        <v>1.7241379300000002E-2</v>
      </c>
      <c r="D87" s="15">
        <v>181</v>
      </c>
      <c r="E87" s="32">
        <f t="shared" ref="E87:E90" si="42">IF(ISNUMBER(D87), (D87 - $B87) / $B87, "")</f>
        <v>2.2598870056497175E-2</v>
      </c>
      <c r="F87" s="18">
        <f>IF(ISNUMBER(D87), $B91 * E87, "")</f>
        <v>3389.8305084745762</v>
      </c>
      <c r="G87" s="31">
        <v>180</v>
      </c>
      <c r="H87" s="32">
        <f t="shared" ref="H87:H90" si="43">IF(ISNUMBER(G87), (G87 - $B87) / $B87, "")</f>
        <v>1.6949152542372881E-2</v>
      </c>
      <c r="I87" s="97">
        <f>IF(ISNUMBER(G87), $B91 * H87, "")</f>
        <v>2542.3728813559323</v>
      </c>
      <c r="J87" s="15">
        <v>181</v>
      </c>
      <c r="K87" s="32">
        <f t="shared" ref="K87:K90" si="44">IF(ISNUMBER(J87), (J87 - $B87) / $B87, "")</f>
        <v>2.2598870056497175E-2</v>
      </c>
      <c r="L87" s="18">
        <f>IF(ISNUMBER(J87), $B91 * K87, "")</f>
        <v>3389.8305084745762</v>
      </c>
      <c r="M87" s="31">
        <v>181</v>
      </c>
      <c r="N87" s="32">
        <f t="shared" ref="N87:N90" si="45">IF(ISNUMBER(M87), (M87 - $B87) / $B87, "")</f>
        <v>2.2598870056497175E-2</v>
      </c>
      <c r="O87" s="18">
        <f>IF(ISNUMBER(M87), $B91 * N87, "")</f>
        <v>3389.8305084745762</v>
      </c>
      <c r="Q87" s="275"/>
      <c r="R87" s="275"/>
      <c r="S87" s="275"/>
    </row>
    <row r="88" spans="1:19" ht="17.25" thickBot="1">
      <c r="A88" s="124" t="s">
        <v>156</v>
      </c>
      <c r="B88" s="125">
        <v>189</v>
      </c>
      <c r="C88" s="73">
        <v>1.6129032299999999E-2</v>
      </c>
      <c r="D88" s="15">
        <v>175</v>
      </c>
      <c r="E88" s="32">
        <f t="shared" si="42"/>
        <v>-7.407407407407407E-2</v>
      </c>
      <c r="F88" s="18">
        <f>IF(ISNUMBER(D88), $B91 * E88, "")</f>
        <v>-11111.111111111111</v>
      </c>
      <c r="G88" s="31">
        <v>180</v>
      </c>
      <c r="H88" s="32">
        <f t="shared" si="43"/>
        <v>-4.7619047619047616E-2</v>
      </c>
      <c r="I88" s="97">
        <f>IF(ISNUMBER(G88), $B91 * H88, "")</f>
        <v>-7142.8571428571422</v>
      </c>
      <c r="J88" s="15">
        <v>180</v>
      </c>
      <c r="K88" s="32">
        <f t="shared" si="44"/>
        <v>-4.7619047619047616E-2</v>
      </c>
      <c r="L88" s="18">
        <f>IF(ISNUMBER(J88), $B91 * K88, "")</f>
        <v>-7142.8571428571422</v>
      </c>
      <c r="M88" s="31">
        <v>178</v>
      </c>
      <c r="N88" s="32">
        <f t="shared" si="45"/>
        <v>-5.8201058201058198E-2</v>
      </c>
      <c r="O88" s="18">
        <f>IF(ISNUMBER(M88), $B91 * N88, "")</f>
        <v>-8730.1587301587297</v>
      </c>
      <c r="Q88" s="275"/>
      <c r="R88" s="275"/>
      <c r="S88" s="275"/>
    </row>
    <row r="89" spans="1:19">
      <c r="A89" s="124" t="s">
        <v>238</v>
      </c>
      <c r="B89" s="125">
        <v>292</v>
      </c>
      <c r="C89" s="73">
        <v>1.0380622799999999E-2</v>
      </c>
      <c r="D89" s="15">
        <v>288</v>
      </c>
      <c r="E89" s="32">
        <f t="shared" si="42"/>
        <v>-1.3698630136986301E-2</v>
      </c>
      <c r="F89" s="18">
        <f>IF(ISNUMBER(D89), $B91 * E89, "")</f>
        <v>-2054.794520547945</v>
      </c>
      <c r="G89" s="31">
        <v>294</v>
      </c>
      <c r="H89" s="32">
        <f t="shared" si="43"/>
        <v>6.8493150684931503E-3</v>
      </c>
      <c r="I89" s="97">
        <f>IF(ISNUMBER(G89), $B91 * H89, "")</f>
        <v>1027.3972602739725</v>
      </c>
      <c r="J89" s="15">
        <v>294</v>
      </c>
      <c r="K89" s="32">
        <f t="shared" si="44"/>
        <v>6.8493150684931503E-3</v>
      </c>
      <c r="L89" s="18">
        <f>IF(ISNUMBER(J89), $B91 * K89, "")</f>
        <v>1027.3972602739725</v>
      </c>
      <c r="M89" s="31">
        <v>294</v>
      </c>
      <c r="N89" s="32">
        <f t="shared" si="45"/>
        <v>6.8493150684931503E-3</v>
      </c>
      <c r="O89" s="18">
        <f>IF(ISNUMBER(M89), $B91 * N89, "")</f>
        <v>1027.3972602739725</v>
      </c>
      <c r="Q89" s="297"/>
      <c r="R89" s="298"/>
      <c r="S89" s="299"/>
    </row>
    <row r="90" spans="1:19" ht="17.25" thickBot="1">
      <c r="A90" s="129" t="s">
        <v>122</v>
      </c>
      <c r="B90" s="130">
        <v>116</v>
      </c>
      <c r="C90" s="75">
        <v>8.6956522000000008E-3</v>
      </c>
      <c r="D90" s="24">
        <v>118</v>
      </c>
      <c r="E90" s="25">
        <f t="shared" si="42"/>
        <v>1.7241379310344827E-2</v>
      </c>
      <c r="F90" s="100">
        <f>IF(ISNUMBER(D90), $B91 * E90, "")</f>
        <v>2586.2068965517242</v>
      </c>
      <c r="G90" s="98">
        <v>119</v>
      </c>
      <c r="H90" s="25">
        <f t="shared" si="43"/>
        <v>2.5862068965517241E-2</v>
      </c>
      <c r="I90" s="99">
        <f>IF(ISNUMBER(G90), $B91 * H90, "")</f>
        <v>3879.3103448275861</v>
      </c>
      <c r="J90" s="24">
        <v>119</v>
      </c>
      <c r="K90" s="25">
        <f t="shared" si="44"/>
        <v>2.5862068965517241E-2</v>
      </c>
      <c r="L90" s="100">
        <f>IF(ISNUMBER(J90), $B91 * K90, "")</f>
        <v>3879.3103448275861</v>
      </c>
      <c r="M90" s="98">
        <v>117</v>
      </c>
      <c r="N90" s="25">
        <f t="shared" si="45"/>
        <v>8.6206896551724137E-3</v>
      </c>
      <c r="O90" s="100">
        <f>IF(ISNUMBER(M90), $B91 * N90, "")</f>
        <v>1293.1034482758621</v>
      </c>
      <c r="Q90" s="300"/>
      <c r="R90" s="301"/>
      <c r="S90" s="302"/>
    </row>
    <row r="91" spans="1:19" ht="17.25" thickBot="1">
      <c r="A91" s="131" t="s">
        <v>301</v>
      </c>
      <c r="B91" s="308">
        <f>$B$37</f>
        <v>150000</v>
      </c>
      <c r="C91" s="309"/>
      <c r="D91" s="26" t="s">
        <v>302</v>
      </c>
      <c r="E91" s="27">
        <f>IF(COUNT(E71:E90), SUM(E71:E90) / COUNT(E71:E90), 0)</f>
        <v>-3.8557710918203175E-2</v>
      </c>
      <c r="F91" s="28">
        <f>SUM(F71:F90)</f>
        <v>-115673.13275460956</v>
      </c>
      <c r="G91" s="26" t="s">
        <v>302</v>
      </c>
      <c r="H91" s="27">
        <f>IF(COUNT(H71:H90), SUM(H71:H90) / COUNT(H71:H90), 0)</f>
        <v>-1.6712599863153155E-2</v>
      </c>
      <c r="I91" s="28">
        <f>SUM(I71:I90)</f>
        <v>-50137.799589459471</v>
      </c>
      <c r="J91" s="26" t="s">
        <v>302</v>
      </c>
      <c r="K91" s="27">
        <f>IF(COUNT(K71:K90), SUM(K71:K90) / COUNT(K71:K90), 0)</f>
        <v>-1.4334145965448158E-2</v>
      </c>
      <c r="L91" s="28">
        <f>SUM(L71:L90)</f>
        <v>-43002.437896344491</v>
      </c>
      <c r="M91" s="26" t="s">
        <v>302</v>
      </c>
      <c r="N91" s="27">
        <f>IF(COUNT(N71:N90), SUM(N71:N90) / COUNT(N71:N90), 0)</f>
        <v>-2.4541885910474872E-2</v>
      </c>
      <c r="O91" s="28">
        <f>SUM(O71:O90)</f>
        <v>-73625.657731424639</v>
      </c>
      <c r="Q91" s="303"/>
      <c r="R91" s="304"/>
      <c r="S91" s="305"/>
    </row>
    <row r="93" spans="1:19" ht="17.25" thickBot="1"/>
    <row r="94" spans="1:19" ht="17.25" thickBot="1">
      <c r="A94" s="249" t="s">
        <v>46</v>
      </c>
      <c r="B94" s="250"/>
      <c r="C94" s="250"/>
      <c r="D94" s="250"/>
      <c r="E94" s="250"/>
      <c r="F94" s="250"/>
      <c r="G94" s="250"/>
      <c r="H94" s="250"/>
      <c r="I94" s="250"/>
      <c r="J94" s="250"/>
      <c r="K94" s="250"/>
      <c r="L94" s="250"/>
      <c r="M94" s="250"/>
      <c r="N94" s="250"/>
      <c r="O94" s="251"/>
      <c r="Q94" s="270"/>
      <c r="R94" s="270"/>
      <c r="S94" s="270"/>
    </row>
    <row r="95" spans="1:19" ht="17.25" thickBot="1">
      <c r="A95" s="167" t="s">
        <v>298</v>
      </c>
      <c r="B95" s="249" t="s">
        <v>49</v>
      </c>
      <c r="C95" s="251"/>
      <c r="D95" s="249" t="s">
        <v>58</v>
      </c>
      <c r="E95" s="250"/>
      <c r="F95" s="251"/>
      <c r="G95" s="276">
        <f>_xlfn.IFNA(VLOOKUP(B95, 현재가테이블!$B$2:$D$200, 2, FALSE), "-")</f>
        <v>60874000</v>
      </c>
      <c r="H95" s="277"/>
      <c r="I95" s="278"/>
      <c r="J95" s="249" t="s">
        <v>59</v>
      </c>
      <c r="K95" s="250"/>
      <c r="L95" s="251"/>
      <c r="M95" s="279">
        <f>_xlfn.IFNA(VLOOKUP(B95, 현재가테이블!$B$2:$D$200, 3, FALSE), "-")</f>
        <v>-1.4936000099999999E-2</v>
      </c>
      <c r="N95" s="280"/>
      <c r="O95" s="281"/>
      <c r="Q95" s="270"/>
      <c r="R95" s="270"/>
      <c r="S95" s="270"/>
    </row>
    <row r="96" spans="1:19" ht="17.25" thickBot="1">
      <c r="A96" s="310" t="s">
        <v>55</v>
      </c>
      <c r="B96" s="312" t="str">
        <f>TEXT($G$1, "[$-ko-KR]yyyy-mm-dd(ddd) ") &amp; "오전 00:00"</f>
        <v>2021-05-08(토) 오전 00:00</v>
      </c>
      <c r="C96" s="313"/>
      <c r="D96" s="272" t="str">
        <f>TEXT($G$1, "[$-ko-KR]yyyy-mm-dd(ddd) ") &amp; "오후 14:00"</f>
        <v>2021-05-08(토) 오후 14:00</v>
      </c>
      <c r="E96" s="273"/>
      <c r="F96" s="274"/>
      <c r="G96" s="272" t="str">
        <f>TEXT($G$1, "[$-ko-KR]yyyy-mm-dd(ddd) ") &amp; "오후 19:00"</f>
        <v>2021-05-08(토) 오후 19:00</v>
      </c>
      <c r="H96" s="273"/>
      <c r="I96" s="274"/>
      <c r="J96" s="272" t="str">
        <f>TEXT($G$1, "[$-ko-KR]yyyy-mm-dd(ddd) ") &amp; "오후 21:00"</f>
        <v>2021-05-08(토) 오후 21:00</v>
      </c>
      <c r="K96" s="273"/>
      <c r="L96" s="274"/>
      <c r="M96" s="272" t="str">
        <f>TEXT($G$1+1, "[$-ko-KR]yyyy-mm-dd(ddd) ") &amp; "오전 00:00"</f>
        <v>2021-05-09(일) 오전 00:00</v>
      </c>
      <c r="N96" s="273"/>
      <c r="O96" s="274"/>
      <c r="Q96" s="270"/>
      <c r="R96" s="270"/>
      <c r="S96" s="270"/>
    </row>
    <row r="97" spans="1:19" ht="17.25" thickBot="1">
      <c r="A97" s="311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8" t="s">
        <v>58</v>
      </c>
      <c r="H97" s="169" t="s">
        <v>299</v>
      </c>
      <c r="I97" s="17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75"/>
      <c r="R97" s="275"/>
      <c r="S97" s="275"/>
    </row>
    <row r="98" spans="1:19" ht="17.25" thickBot="1">
      <c r="A98" s="122" t="s">
        <v>242</v>
      </c>
      <c r="B98" s="123">
        <v>13180</v>
      </c>
      <c r="C98" s="72">
        <v>0.55884092249999995</v>
      </c>
      <c r="D98" s="13">
        <v>10590</v>
      </c>
      <c r="E98" s="14">
        <f>IF(ISNUMBER(D98), (D98 - $B98) / $B98, "")</f>
        <v>-0.19650986342943855</v>
      </c>
      <c r="F98" s="16">
        <f>IF(ISNUMBER(D98), $B118 * E98, "")</f>
        <v>-29476.479514415783</v>
      </c>
      <c r="G98" s="29">
        <v>10660</v>
      </c>
      <c r="H98" s="14">
        <f>IF(ISNUMBER(G98), (G98 - $B98) / $B98, "")</f>
        <v>-0.19119878603945373</v>
      </c>
      <c r="I98" s="96">
        <f>IF(ISNUMBER(G98), $B118 * H98, "")</f>
        <v>-28679.817905918058</v>
      </c>
      <c r="J98" s="13">
        <v>10490</v>
      </c>
      <c r="K98" s="14">
        <f>IF(ISNUMBER(J98), (J98 - $B98) / $B98, "")</f>
        <v>-0.20409711684370258</v>
      </c>
      <c r="L98" s="16">
        <f>IF(ISNUMBER(J98), $B118 * K98, "")</f>
        <v>-30614.567526555387</v>
      </c>
      <c r="M98" s="29">
        <v>10390</v>
      </c>
      <c r="N98" s="14">
        <f>IF(ISNUMBER(M98), (M98 - $B98) / $B98, "")</f>
        <v>-0.2116843702579666</v>
      </c>
      <c r="O98" s="16">
        <f>IF(ISNUMBER(M98), $B118 * N98, "")</f>
        <v>-31752.655538694991</v>
      </c>
      <c r="Q98" s="270"/>
      <c r="R98" s="270"/>
      <c r="S98" s="270"/>
    </row>
    <row r="99" spans="1:19" ht="17.25" thickBot="1">
      <c r="A99" s="124" t="s">
        <v>272</v>
      </c>
      <c r="B99" s="125">
        <v>3310</v>
      </c>
      <c r="C99" s="73">
        <v>0.26335877860000001</v>
      </c>
      <c r="D99" s="15">
        <v>2875</v>
      </c>
      <c r="E99" s="32">
        <f t="shared" ref="E99:E102" si="46">IF(ISNUMBER(D99), (D99 - $B99) / $B99, "")</f>
        <v>-0.13141993957703926</v>
      </c>
      <c r="F99" s="18">
        <f>IF(ISNUMBER(D99), $B118 * E99, "")</f>
        <v>-19712.990936555889</v>
      </c>
      <c r="G99" s="31">
        <v>3065</v>
      </c>
      <c r="H99" s="32">
        <f t="shared" ref="H99:H102" si="47">IF(ISNUMBER(G99), (G99 - $B99) / $B99, "")</f>
        <v>-7.4018126888217517E-2</v>
      </c>
      <c r="I99" s="97">
        <f>IF(ISNUMBER(G99), $B118 * H99, "")</f>
        <v>-11102.719033232628</v>
      </c>
      <c r="J99" s="15">
        <v>3055</v>
      </c>
      <c r="K99" s="32">
        <f t="shared" ref="K99:K102" si="48">IF(ISNUMBER(J99), (J99 - $B99) / $B99, "")</f>
        <v>-7.7039274924471296E-2</v>
      </c>
      <c r="L99" s="18">
        <f>IF(ISNUMBER(J99), $B118 * K99, "")</f>
        <v>-11555.891238670694</v>
      </c>
      <c r="M99" s="31">
        <v>3045</v>
      </c>
      <c r="N99" s="32">
        <f t="shared" ref="N99:N102" si="49">IF(ISNUMBER(M99), (M99 - $B99) / $B99, "")</f>
        <v>-8.0060422960725075E-2</v>
      </c>
      <c r="O99" s="18">
        <f>IF(ISNUMBER(M99), $B118 * N99, "")</f>
        <v>-12009.06344410876</v>
      </c>
      <c r="Q99" s="270"/>
      <c r="R99" s="270"/>
      <c r="S99" s="270"/>
    </row>
    <row r="100" spans="1:19" ht="17.25" thickBot="1">
      <c r="A100" s="124" t="s">
        <v>276</v>
      </c>
      <c r="B100" s="125">
        <v>5730</v>
      </c>
      <c r="C100" s="73">
        <v>0.23491379309999999</v>
      </c>
      <c r="D100" s="15">
        <v>4975</v>
      </c>
      <c r="E100" s="32">
        <f t="shared" si="46"/>
        <v>-0.13176265270506107</v>
      </c>
      <c r="F100" s="18">
        <f>IF(ISNUMBER(D100), $B118 * E100, "")</f>
        <v>-19764.39790575916</v>
      </c>
      <c r="G100" s="31">
        <v>5430</v>
      </c>
      <c r="H100" s="32">
        <f t="shared" si="47"/>
        <v>-5.2356020942408377E-2</v>
      </c>
      <c r="I100" s="97">
        <f>IF(ISNUMBER(G100), $B118 * H100, "")</f>
        <v>-7853.4031413612565</v>
      </c>
      <c r="J100" s="15">
        <v>5560</v>
      </c>
      <c r="K100" s="32">
        <f t="shared" si="48"/>
        <v>-2.9668411867364748E-2</v>
      </c>
      <c r="L100" s="18">
        <f>IF(ISNUMBER(J100), $B118 * K100, "")</f>
        <v>-4450.2617801047127</v>
      </c>
      <c r="M100" s="31">
        <v>5600</v>
      </c>
      <c r="N100" s="32">
        <f t="shared" si="49"/>
        <v>-2.2687609075043629E-2</v>
      </c>
      <c r="O100" s="18">
        <f>IF(ISNUMBER(M100), $B118 * N100, "")</f>
        <v>-3403.1413612565443</v>
      </c>
      <c r="Q100" s="275"/>
      <c r="R100" s="275"/>
      <c r="S100" s="275"/>
    </row>
    <row r="101" spans="1:19" ht="17.25" thickBot="1">
      <c r="A101" s="124" t="s">
        <v>216</v>
      </c>
      <c r="B101" s="125">
        <v>555</v>
      </c>
      <c r="C101" s="73">
        <v>0.21179039299999999</v>
      </c>
      <c r="D101" s="15">
        <v>491</v>
      </c>
      <c r="E101" s="32">
        <f t="shared" si="46"/>
        <v>-0.11531531531531532</v>
      </c>
      <c r="F101" s="18">
        <f>IF(ISNUMBER(D101), $B118 * E101, "")</f>
        <v>-17297.297297297297</v>
      </c>
      <c r="G101" s="31">
        <v>525</v>
      </c>
      <c r="H101" s="32">
        <f t="shared" si="47"/>
        <v>-5.4054054054054057E-2</v>
      </c>
      <c r="I101" s="97">
        <f>IF(ISNUMBER(G101), $B118 * H101, "")</f>
        <v>-8108.1081081081084</v>
      </c>
      <c r="J101" s="15">
        <v>515</v>
      </c>
      <c r="K101" s="32">
        <f t="shared" si="48"/>
        <v>-7.2072072072072071E-2</v>
      </c>
      <c r="L101" s="18">
        <f>IF(ISNUMBER(J101), $B118 * K101, "")</f>
        <v>-10810.81081081081</v>
      </c>
      <c r="M101" s="31">
        <v>508</v>
      </c>
      <c r="N101" s="32">
        <f t="shared" si="49"/>
        <v>-8.468468468468468E-2</v>
      </c>
      <c r="O101" s="18">
        <f>IF(ISNUMBER(M101), $B118 * N101, "")</f>
        <v>-12702.702702702702</v>
      </c>
      <c r="Q101" s="275"/>
      <c r="R101" s="275"/>
      <c r="S101" s="275"/>
    </row>
    <row r="102" spans="1:19" ht="17.25" thickBot="1">
      <c r="A102" s="126" t="s">
        <v>188</v>
      </c>
      <c r="B102" s="127">
        <v>35420</v>
      </c>
      <c r="C102" s="74">
        <v>0.17129629630000001</v>
      </c>
      <c r="D102" s="20">
        <v>30240</v>
      </c>
      <c r="E102" s="21">
        <f t="shared" si="46"/>
        <v>-0.14624505928853754</v>
      </c>
      <c r="F102" s="22">
        <f>IF(ISNUMBER(D102), $B118 * E102, "")</f>
        <v>-21936.758893280632</v>
      </c>
      <c r="G102" s="30">
        <v>30790</v>
      </c>
      <c r="H102" s="21">
        <f t="shared" si="47"/>
        <v>-0.13071710897797853</v>
      </c>
      <c r="I102" s="101">
        <f>IF(ISNUMBER(G102), $B118 * H102, "")</f>
        <v>-19607.566346696778</v>
      </c>
      <c r="J102" s="20">
        <v>30380</v>
      </c>
      <c r="K102" s="21">
        <f t="shared" si="48"/>
        <v>-0.14229249011857709</v>
      </c>
      <c r="L102" s="22">
        <f>IF(ISNUMBER(J102), $B118 * K102, "")</f>
        <v>-21343.873517786564</v>
      </c>
      <c r="M102" s="30">
        <v>30080</v>
      </c>
      <c r="N102" s="21">
        <f t="shared" si="49"/>
        <v>-0.15076228119706381</v>
      </c>
      <c r="O102" s="22">
        <f>IF(ISNUMBER(M102), $B118 * N102, "")</f>
        <v>-22614.342179559571</v>
      </c>
      <c r="Q102" s="275"/>
      <c r="R102" s="275"/>
      <c r="S102" s="275"/>
    </row>
    <row r="103" spans="1:19" ht="17.25" thickBot="1">
      <c r="A103" s="124" t="s">
        <v>170</v>
      </c>
      <c r="B103" s="128">
        <v>615</v>
      </c>
      <c r="C103" s="76">
        <v>0.1452513966</v>
      </c>
      <c r="D103" s="102">
        <v>553</v>
      </c>
      <c r="E103" s="103">
        <f>IF(ISNUMBER(D103), (D103 - $B103) / $B103, "")</f>
        <v>-0.1008130081300813</v>
      </c>
      <c r="F103" s="104">
        <f>IF(ISNUMBER(D103), $B118 * E103, "")</f>
        <v>-15121.951219512195</v>
      </c>
      <c r="G103" s="105">
        <v>563</v>
      </c>
      <c r="H103" s="103">
        <f>IF(ISNUMBER(G103), (G103 - $B103) / $B103, "")</f>
        <v>-8.4552845528455281E-2</v>
      </c>
      <c r="I103" s="106">
        <f>IF(ISNUMBER(G103), $B118 * H103, "")</f>
        <v>-12682.926829268292</v>
      </c>
      <c r="J103" s="102">
        <v>563</v>
      </c>
      <c r="K103" s="103">
        <f>IF(ISNUMBER(J103), (J103 - $B103) / $B103, "")</f>
        <v>-8.4552845528455281E-2</v>
      </c>
      <c r="L103" s="104">
        <f>IF(ISNUMBER(J103), $B118 * K103, "")</f>
        <v>-12682.926829268292</v>
      </c>
      <c r="M103" s="105">
        <v>557</v>
      </c>
      <c r="N103" s="103">
        <f>IF(ISNUMBER(M103), (M103 - $B103) / $B103, "")</f>
        <v>-9.4308943089430899E-2</v>
      </c>
      <c r="O103" s="104">
        <f>IF(ISNUMBER(M103), $B118 * N103, "")</f>
        <v>-14146.341463414636</v>
      </c>
      <c r="Q103" s="275"/>
      <c r="R103" s="275"/>
      <c r="S103" s="275"/>
    </row>
    <row r="104" spans="1:19" ht="17.25" thickBot="1">
      <c r="A104" s="124" t="s">
        <v>110</v>
      </c>
      <c r="B104" s="125">
        <v>3435</v>
      </c>
      <c r="C104" s="73">
        <v>0.1336633663</v>
      </c>
      <c r="D104" s="15">
        <v>3190</v>
      </c>
      <c r="E104" s="32">
        <f t="shared" ref="E104:E107" si="50">IF(ISNUMBER(D104), (D104 - $B104) / $B104, "")</f>
        <v>-7.132459970887918E-2</v>
      </c>
      <c r="F104" s="18">
        <f>IF(ISNUMBER(D104), $B118 * E104, "")</f>
        <v>-10698.689956331877</v>
      </c>
      <c r="G104" s="31">
        <v>3275</v>
      </c>
      <c r="H104" s="32">
        <f t="shared" ref="H104:H107" si="51">IF(ISNUMBER(G104), (G104 - $B104) / $B104, "")</f>
        <v>-4.6579330422125184E-2</v>
      </c>
      <c r="I104" s="97">
        <f>IF(ISNUMBER(G104), $B118 * H104, "")</f>
        <v>-6986.8995633187778</v>
      </c>
      <c r="J104" s="15">
        <v>3230</v>
      </c>
      <c r="K104" s="32">
        <f t="shared" ref="K104:K107" si="52">IF(ISNUMBER(J104), (J104 - $B104) / $B104, "")</f>
        <v>-5.9679767103347887E-2</v>
      </c>
      <c r="L104" s="18">
        <f>IF(ISNUMBER(J104), $B118 * K104, "")</f>
        <v>-8951.9650655021833</v>
      </c>
      <c r="M104" s="31">
        <v>3265</v>
      </c>
      <c r="N104" s="32">
        <f t="shared" ref="N104:N107" si="53">IF(ISNUMBER(M104), (M104 - $B104) / $B104, "")</f>
        <v>-4.9490538573508006E-2</v>
      </c>
      <c r="O104" s="18">
        <f>IF(ISNUMBER(M104), $B118 * N104, "")</f>
        <v>-7423.5807860262012</v>
      </c>
      <c r="Q104" s="275"/>
      <c r="R104" s="275"/>
      <c r="S104" s="275"/>
    </row>
    <row r="105" spans="1:19" ht="17.25" thickBot="1">
      <c r="A105" s="124" t="s">
        <v>248</v>
      </c>
      <c r="B105" s="125">
        <v>4275</v>
      </c>
      <c r="C105" s="73">
        <v>0.1103896104</v>
      </c>
      <c r="D105" s="15">
        <v>4110</v>
      </c>
      <c r="E105" s="32">
        <f t="shared" si="50"/>
        <v>-3.8596491228070177E-2</v>
      </c>
      <c r="F105" s="18">
        <f>IF(ISNUMBER(D105), $B118 * E105, "")</f>
        <v>-5789.4736842105267</v>
      </c>
      <c r="G105" s="31">
        <v>4435</v>
      </c>
      <c r="H105" s="32">
        <f t="shared" si="51"/>
        <v>3.7426900584795322E-2</v>
      </c>
      <c r="I105" s="97">
        <f>IF(ISNUMBER(G105), $B118 * H105, "")</f>
        <v>5614.0350877192986</v>
      </c>
      <c r="J105" s="15">
        <v>4535</v>
      </c>
      <c r="K105" s="32">
        <f t="shared" si="52"/>
        <v>6.0818713450292397E-2</v>
      </c>
      <c r="L105" s="18">
        <f>IF(ISNUMBER(J105), $B118 * K105, "")</f>
        <v>9122.8070175438588</v>
      </c>
      <c r="M105" s="31">
        <v>4675</v>
      </c>
      <c r="N105" s="32">
        <f t="shared" si="53"/>
        <v>9.3567251461988299E-2</v>
      </c>
      <c r="O105" s="18">
        <f>IF(ISNUMBER(M105), $B118 * N105, "")</f>
        <v>14035.087719298244</v>
      </c>
      <c r="Q105" s="275"/>
      <c r="R105" s="275"/>
      <c r="S105" s="275"/>
    </row>
    <row r="106" spans="1:19" ht="17.25" thickBot="1">
      <c r="A106" s="124" t="s">
        <v>132</v>
      </c>
      <c r="B106" s="125">
        <v>291</v>
      </c>
      <c r="C106" s="73">
        <v>0.1022727273</v>
      </c>
      <c r="D106" s="15">
        <v>271</v>
      </c>
      <c r="E106" s="32">
        <f t="shared" si="50"/>
        <v>-6.8728522336769765E-2</v>
      </c>
      <c r="F106" s="18">
        <f>IF(ISNUMBER(D106), $B118 * E106, "")</f>
        <v>-10309.278350515464</v>
      </c>
      <c r="G106" s="31">
        <v>276</v>
      </c>
      <c r="H106" s="32">
        <f t="shared" si="51"/>
        <v>-5.1546391752577317E-2</v>
      </c>
      <c r="I106" s="97">
        <f>IF(ISNUMBER(G106), $B118 * H106, "")</f>
        <v>-7731.9587628865975</v>
      </c>
      <c r="J106" s="15">
        <v>279</v>
      </c>
      <c r="K106" s="32">
        <f t="shared" si="52"/>
        <v>-4.1237113402061855E-2</v>
      </c>
      <c r="L106" s="18">
        <f>IF(ISNUMBER(J106), $B118 * K106, "")</f>
        <v>-6185.567010309278</v>
      </c>
      <c r="M106" s="31">
        <v>273</v>
      </c>
      <c r="N106" s="32">
        <f t="shared" si="53"/>
        <v>-6.1855670103092786E-2</v>
      </c>
      <c r="O106" s="18">
        <f>IF(ISNUMBER(M106), $B118 * N106, "")</f>
        <v>-9278.350515463917</v>
      </c>
      <c r="Q106" s="33"/>
      <c r="R106" s="33"/>
    </row>
    <row r="107" spans="1:19" ht="17.25" thickBot="1">
      <c r="A107" s="129" t="s">
        <v>74</v>
      </c>
      <c r="B107" s="130">
        <v>34250</v>
      </c>
      <c r="C107" s="75">
        <v>9.7404677999999995E-2</v>
      </c>
      <c r="D107" s="24">
        <v>33600</v>
      </c>
      <c r="E107" s="25">
        <f t="shared" si="50"/>
        <v>-1.8978102189781021E-2</v>
      </c>
      <c r="F107" s="100">
        <f>IF(ISNUMBER(D107), $B118 * E107, "")</f>
        <v>-2846.7153284671531</v>
      </c>
      <c r="G107" s="98">
        <v>34940</v>
      </c>
      <c r="H107" s="25">
        <f t="shared" si="51"/>
        <v>2.0145985401459853E-2</v>
      </c>
      <c r="I107" s="99">
        <f>IF(ISNUMBER(G107), $B118 * H107, "")</f>
        <v>3021.8978102189781</v>
      </c>
      <c r="J107" s="24">
        <v>34710</v>
      </c>
      <c r="K107" s="25">
        <f t="shared" si="52"/>
        <v>1.3430656934306569E-2</v>
      </c>
      <c r="L107" s="100">
        <f>IF(ISNUMBER(J107), $B118 * K107, "")</f>
        <v>2014.5985401459852</v>
      </c>
      <c r="M107" s="98">
        <v>33780</v>
      </c>
      <c r="N107" s="25">
        <f t="shared" si="53"/>
        <v>-1.3722627737226278E-2</v>
      </c>
      <c r="O107" s="100">
        <f>IF(ISNUMBER(M107), $B118 * N107, "")</f>
        <v>-2058.3941605839418</v>
      </c>
      <c r="Q107" s="284"/>
      <c r="R107" s="285"/>
      <c r="S107" s="286"/>
    </row>
    <row r="108" spans="1:19">
      <c r="A108" s="122" t="s">
        <v>114</v>
      </c>
      <c r="B108" s="123">
        <v>14530</v>
      </c>
      <c r="C108" s="72">
        <v>9.5776772199999999E-2</v>
      </c>
      <c r="D108" s="13">
        <v>13940</v>
      </c>
      <c r="E108" s="14">
        <f>IF(ISNUMBER(D108), (D108 - $B108) / $B108, "")</f>
        <v>-4.0605643496214726E-2</v>
      </c>
      <c r="F108" s="16">
        <f>IF(ISNUMBER(D108), $B118 * E108, "")</f>
        <v>-6090.8465244322088</v>
      </c>
      <c r="G108" s="29">
        <v>15270</v>
      </c>
      <c r="H108" s="14">
        <f>IF(ISNUMBER(G108), (G108 - $B108) / $B108, "")</f>
        <v>5.0929112181693048E-2</v>
      </c>
      <c r="I108" s="96">
        <f>IF(ISNUMBER(G108), $B118 * H108, "")</f>
        <v>7639.3668272539571</v>
      </c>
      <c r="J108" s="13">
        <v>15210</v>
      </c>
      <c r="K108" s="14">
        <f>IF(ISNUMBER(J108), (J108 - $B108) / $B108, "")</f>
        <v>4.6799724707501718E-2</v>
      </c>
      <c r="L108" s="16">
        <f>IF(ISNUMBER(J108), $B118 * K108, "")</f>
        <v>7019.9587061252578</v>
      </c>
      <c r="M108" s="29">
        <v>14800</v>
      </c>
      <c r="N108" s="14">
        <f>IF(ISNUMBER(M108), (M108 - $B108) / $B108, "")</f>
        <v>1.8582243633860976E-2</v>
      </c>
      <c r="O108" s="16">
        <f>IF(ISNUMBER(M108), $B118 * N108, "")</f>
        <v>2787.3365450791462</v>
      </c>
      <c r="Q108" s="287"/>
      <c r="R108" s="288"/>
      <c r="S108" s="289"/>
    </row>
    <row r="109" spans="1:19" ht="17.25" thickBot="1">
      <c r="A109" s="124" t="s">
        <v>134</v>
      </c>
      <c r="B109" s="125">
        <v>166</v>
      </c>
      <c r="C109" s="73">
        <v>9.2105263199999995E-2</v>
      </c>
      <c r="D109" s="15">
        <v>164</v>
      </c>
      <c r="E109" s="32">
        <f t="shared" ref="E109:E112" si="54">IF(ISNUMBER(D109), (D109 - $B109) / $B109, "")</f>
        <v>-1.2048192771084338E-2</v>
      </c>
      <c r="F109" s="18">
        <f>IF(ISNUMBER(D109), $B118 * E109, "")</f>
        <v>-1807.2289156626507</v>
      </c>
      <c r="G109" s="31">
        <v>164</v>
      </c>
      <c r="H109" s="32">
        <f t="shared" ref="H109:H112" si="55">IF(ISNUMBER(G109), (G109 - $B109) / $B109, "")</f>
        <v>-1.2048192771084338E-2</v>
      </c>
      <c r="I109" s="97">
        <f>IF(ISNUMBER(G109), $B118 * H109, "")</f>
        <v>-1807.2289156626507</v>
      </c>
      <c r="J109" s="15">
        <v>163</v>
      </c>
      <c r="K109" s="32">
        <f t="shared" ref="K109:K112" si="56">IF(ISNUMBER(J109), (J109 - $B109) / $B109, "")</f>
        <v>-1.8072289156626505E-2</v>
      </c>
      <c r="L109" s="18">
        <f>IF(ISNUMBER(J109), $B118 * K109, "")</f>
        <v>-2710.8433734939758</v>
      </c>
      <c r="M109" s="31">
        <v>164</v>
      </c>
      <c r="N109" s="32">
        <f t="shared" ref="N109:N112" si="57">IF(ISNUMBER(M109), (M109 - $B109) / $B109, "")</f>
        <v>-1.2048192771084338E-2</v>
      </c>
      <c r="O109" s="18">
        <f>IF(ISNUMBER(M109), $B118 * N109, "")</f>
        <v>-1807.2289156626507</v>
      </c>
      <c r="Q109" s="290"/>
      <c r="R109" s="291"/>
      <c r="S109" s="292"/>
    </row>
    <row r="110" spans="1:19" ht="17.25" thickBot="1">
      <c r="A110" s="124" t="s">
        <v>284</v>
      </c>
      <c r="B110" s="125">
        <v>538</v>
      </c>
      <c r="C110" s="73">
        <v>8.2494969799999998E-2</v>
      </c>
      <c r="D110" s="15">
        <v>504</v>
      </c>
      <c r="E110" s="32">
        <f t="shared" si="54"/>
        <v>-6.3197026022304828E-2</v>
      </c>
      <c r="F110" s="18">
        <f>IF(ISNUMBER(D110), $B118 * E110, "")</f>
        <v>-9479.5539033457244</v>
      </c>
      <c r="G110" s="31">
        <v>519</v>
      </c>
      <c r="H110" s="32">
        <f t="shared" si="55"/>
        <v>-3.5315985130111527E-2</v>
      </c>
      <c r="I110" s="97">
        <f>IF(ISNUMBER(G110), $B118 * H110, "")</f>
        <v>-5297.3977695167287</v>
      </c>
      <c r="J110" s="15">
        <v>517</v>
      </c>
      <c r="K110" s="32">
        <f t="shared" si="56"/>
        <v>-3.9033457249070633E-2</v>
      </c>
      <c r="L110" s="18">
        <f>IF(ISNUMBER(J110), $B118 * K110, "")</f>
        <v>-5855.0185873605951</v>
      </c>
      <c r="M110" s="31">
        <v>534</v>
      </c>
      <c r="N110" s="32">
        <f t="shared" si="57"/>
        <v>-7.4349442379182153E-3</v>
      </c>
      <c r="O110" s="18">
        <f>IF(ISNUMBER(M110), $B118 * N110, "")</f>
        <v>-1115.2416356877322</v>
      </c>
      <c r="Q110" s="275"/>
      <c r="R110" s="275"/>
      <c r="S110" s="275"/>
    </row>
    <row r="111" spans="1:19" ht="17.25" thickBot="1">
      <c r="A111" s="124" t="s">
        <v>140</v>
      </c>
      <c r="B111" s="125">
        <v>4675</v>
      </c>
      <c r="C111" s="73">
        <v>7.9676674399999994E-2</v>
      </c>
      <c r="D111" s="15">
        <v>4215</v>
      </c>
      <c r="E111" s="32">
        <f t="shared" si="54"/>
        <v>-9.8395721925133683E-2</v>
      </c>
      <c r="F111" s="18">
        <f>IF(ISNUMBER(D111), $B118 * E111, "")</f>
        <v>-14759.358288770052</v>
      </c>
      <c r="G111" s="31">
        <v>4375</v>
      </c>
      <c r="H111" s="32">
        <f t="shared" si="55"/>
        <v>-6.4171122994652413E-2</v>
      </c>
      <c r="I111" s="97">
        <f>IF(ISNUMBER(G111), $B118 * H111, "")</f>
        <v>-9625.6684491978613</v>
      </c>
      <c r="J111" s="15">
        <v>4285</v>
      </c>
      <c r="K111" s="32">
        <f t="shared" si="56"/>
        <v>-8.3422459893048126E-2</v>
      </c>
      <c r="L111" s="18">
        <f>IF(ISNUMBER(J111), $B118 * K111, "")</f>
        <v>-12513.368983957218</v>
      </c>
      <c r="M111" s="31">
        <v>4300</v>
      </c>
      <c r="N111" s="32">
        <f t="shared" si="57"/>
        <v>-8.0213903743315509E-2</v>
      </c>
      <c r="O111" s="18">
        <f>IF(ISNUMBER(M111), $B118 * N111, "")</f>
        <v>-12032.085561497326</v>
      </c>
      <c r="Q111" s="270"/>
      <c r="R111" s="270"/>
      <c r="S111" s="270"/>
    </row>
    <row r="112" spans="1:19" ht="17.25" thickBot="1">
      <c r="A112" s="126" t="s">
        <v>65</v>
      </c>
      <c r="B112" s="127">
        <v>84.8</v>
      </c>
      <c r="C112" s="74">
        <v>7.8880407099999994E-2</v>
      </c>
      <c r="D112" s="20">
        <v>79.599999999999994</v>
      </c>
      <c r="E112" s="21">
        <f t="shared" si="54"/>
        <v>-6.1320754716981167E-2</v>
      </c>
      <c r="F112" s="22">
        <f>IF(ISNUMBER(D112), $B118 * E112, "")</f>
        <v>-9198.1132075471742</v>
      </c>
      <c r="G112" s="30">
        <v>79.7</v>
      </c>
      <c r="H112" s="21">
        <f t="shared" si="55"/>
        <v>-6.0141509433962202E-2</v>
      </c>
      <c r="I112" s="101">
        <f>IF(ISNUMBER(G112), $B118 * H112, "")</f>
        <v>-9021.2264150943302</v>
      </c>
      <c r="J112" s="20">
        <v>79.099999999999994</v>
      </c>
      <c r="K112" s="21">
        <f t="shared" si="56"/>
        <v>-6.7216981132075512E-2</v>
      </c>
      <c r="L112" s="22">
        <f>IF(ISNUMBER(J112), $B118 * K112, "")</f>
        <v>-10082.547169811327</v>
      </c>
      <c r="M112" s="30">
        <v>79.5</v>
      </c>
      <c r="N112" s="21">
        <f t="shared" si="57"/>
        <v>-6.2499999999999965E-2</v>
      </c>
      <c r="O112" s="22">
        <f>IF(ISNUMBER(M112), $B118 * N112, "")</f>
        <v>-9374.9999999999945</v>
      </c>
      <c r="Q112" s="270"/>
      <c r="R112" s="270"/>
      <c r="S112" s="270"/>
    </row>
    <row r="113" spans="1:19" ht="17.25" thickBot="1">
      <c r="A113" s="124" t="s">
        <v>118</v>
      </c>
      <c r="B113" s="128">
        <v>8225</v>
      </c>
      <c r="C113" s="76">
        <v>7.7981651400000004E-2</v>
      </c>
      <c r="D113" s="102">
        <v>7635</v>
      </c>
      <c r="E113" s="103">
        <f>IF(ISNUMBER(D113), (D113 - $B113) / $B113, "")</f>
        <v>-7.1732522796352588E-2</v>
      </c>
      <c r="F113" s="104">
        <f>IF(ISNUMBER(D113), $B118 * E113, "")</f>
        <v>-10759.878419452889</v>
      </c>
      <c r="G113" s="105">
        <v>7780</v>
      </c>
      <c r="H113" s="103">
        <f>IF(ISNUMBER(G113), (G113 - $B113) / $B113, "")</f>
        <v>-5.410334346504559E-2</v>
      </c>
      <c r="I113" s="106">
        <f>IF(ISNUMBER(G113), $B118 * H113, "")</f>
        <v>-8115.5015197568382</v>
      </c>
      <c r="J113" s="102">
        <v>7685</v>
      </c>
      <c r="K113" s="103">
        <f>IF(ISNUMBER(J113), (J113 - $B113) / $B113, "")</f>
        <v>-6.5653495440729487E-2</v>
      </c>
      <c r="L113" s="104">
        <f>IF(ISNUMBER(J113), $B118 * K113, "")</f>
        <v>-9848.0243161094222</v>
      </c>
      <c r="M113" s="105">
        <v>7715</v>
      </c>
      <c r="N113" s="103">
        <f>IF(ISNUMBER(M113), (M113 - $B113) / $B113, "")</f>
        <v>-6.2006079027355623E-2</v>
      </c>
      <c r="O113" s="104">
        <f>IF(ISNUMBER(M113), $B118 * N113, "")</f>
        <v>-9300.911854103344</v>
      </c>
      <c r="Q113" s="275"/>
      <c r="R113" s="275"/>
      <c r="S113" s="275"/>
    </row>
    <row r="114" spans="1:19" ht="17.25" thickBot="1">
      <c r="A114" s="124" t="s">
        <v>270</v>
      </c>
      <c r="B114" s="125">
        <v>653</v>
      </c>
      <c r="C114" s="73">
        <v>7.7557755800000003E-2</v>
      </c>
      <c r="D114" s="15">
        <v>619</v>
      </c>
      <c r="E114" s="32">
        <f t="shared" ref="E114:E117" si="58">IF(ISNUMBER(D114), (D114 - $B114) / $B114, "")</f>
        <v>-5.2067381316998472E-2</v>
      </c>
      <c r="F114" s="18">
        <f>IF(ISNUMBER(D114), $B118 * E114, "")</f>
        <v>-7810.1071975497707</v>
      </c>
      <c r="G114" s="31">
        <v>633</v>
      </c>
      <c r="H114" s="32">
        <f t="shared" ref="H114:H117" si="59">IF(ISNUMBER(G114), (G114 - $B114) / $B114, "")</f>
        <v>-3.0627871362940276E-2</v>
      </c>
      <c r="I114" s="97">
        <f>IF(ISNUMBER(G114), $B118 * H114, "")</f>
        <v>-4594.1807044410416</v>
      </c>
      <c r="J114" s="15">
        <v>639</v>
      </c>
      <c r="K114" s="32">
        <f t="shared" ref="K114:K117" si="60">IF(ISNUMBER(J114), (J114 - $B114) / $B114, "")</f>
        <v>-2.1439509954058193E-2</v>
      </c>
      <c r="L114" s="18">
        <f>IF(ISNUMBER(J114), $B118 * K114, "")</f>
        <v>-3215.9264931087287</v>
      </c>
      <c r="M114" s="31">
        <v>617</v>
      </c>
      <c r="N114" s="32">
        <f t="shared" ref="N114:N117" si="61">IF(ISNUMBER(M114), (M114 - $B114) / $B114, "")</f>
        <v>-5.5130168453292494E-2</v>
      </c>
      <c r="O114" s="18">
        <f>IF(ISNUMBER(M114), $B118 * N114, "")</f>
        <v>-8269.5252679938749</v>
      </c>
      <c r="Q114" s="275"/>
      <c r="R114" s="275"/>
      <c r="S114" s="275"/>
    </row>
    <row r="115" spans="1:19" ht="17.25" thickBot="1">
      <c r="A115" s="124" t="s">
        <v>182</v>
      </c>
      <c r="B115" s="125">
        <v>569</v>
      </c>
      <c r="C115" s="73">
        <v>7.5614366700000005E-2</v>
      </c>
      <c r="D115" s="15">
        <v>529</v>
      </c>
      <c r="E115" s="32">
        <f t="shared" si="58"/>
        <v>-7.0298769771529004E-2</v>
      </c>
      <c r="F115" s="18">
        <f>IF(ISNUMBER(D115), $B118 * E115, "")</f>
        <v>-10544.815465729351</v>
      </c>
      <c r="G115" s="31">
        <v>558</v>
      </c>
      <c r="H115" s="32">
        <f t="shared" si="59"/>
        <v>-1.9332161687170474E-2</v>
      </c>
      <c r="I115" s="97">
        <f>IF(ISNUMBER(G115), $B118 * H115, "")</f>
        <v>-2899.8242530755711</v>
      </c>
      <c r="J115" s="15">
        <v>568</v>
      </c>
      <c r="K115" s="32">
        <f t="shared" si="60"/>
        <v>-1.7574692442882249E-3</v>
      </c>
      <c r="L115" s="18">
        <f>IF(ISNUMBER(J115), $B118 * K115, "")</f>
        <v>-263.6203866432337</v>
      </c>
      <c r="M115" s="31">
        <v>567</v>
      </c>
      <c r="N115" s="32">
        <f t="shared" si="61"/>
        <v>-3.5149384885764497E-3</v>
      </c>
      <c r="O115" s="18">
        <f>IF(ISNUMBER(M115), $B118 * N115, "")</f>
        <v>-527.2407732864674</v>
      </c>
      <c r="Q115" s="275"/>
      <c r="R115" s="275"/>
      <c r="S115" s="275"/>
    </row>
    <row r="116" spans="1:19">
      <c r="A116" s="124" t="s">
        <v>184</v>
      </c>
      <c r="B116" s="125">
        <v>3070</v>
      </c>
      <c r="C116" s="73">
        <v>6.7826086999999993E-2</v>
      </c>
      <c r="D116" s="15">
        <v>2865</v>
      </c>
      <c r="E116" s="32">
        <f t="shared" si="58"/>
        <v>-6.6775244299674269E-2</v>
      </c>
      <c r="F116" s="18">
        <f>IF(ISNUMBER(D116), $B118 * E116, "")</f>
        <v>-10016.28664495114</v>
      </c>
      <c r="G116" s="31">
        <v>2840</v>
      </c>
      <c r="H116" s="32">
        <f t="shared" si="59"/>
        <v>-7.4918566775244305E-2</v>
      </c>
      <c r="I116" s="97">
        <f>IF(ISNUMBER(G116), $B118 * H116, "")</f>
        <v>-11237.785016286645</v>
      </c>
      <c r="J116" s="15">
        <v>2845</v>
      </c>
      <c r="K116" s="32">
        <f t="shared" si="60"/>
        <v>-7.3289902280130298E-2</v>
      </c>
      <c r="L116" s="18">
        <f>IF(ISNUMBER(J116), $B118 * K116, "")</f>
        <v>-10993.485342019545</v>
      </c>
      <c r="M116" s="31">
        <v>2815</v>
      </c>
      <c r="N116" s="32">
        <f t="shared" si="61"/>
        <v>-8.3061889250814328E-2</v>
      </c>
      <c r="O116" s="18">
        <f>IF(ISNUMBER(M116), $B118 * N116, "")</f>
        <v>-12459.283387622148</v>
      </c>
      <c r="Q116" s="297"/>
      <c r="R116" s="298"/>
      <c r="S116" s="299"/>
    </row>
    <row r="117" spans="1:19" ht="17.25" thickBot="1">
      <c r="A117" s="129" t="s">
        <v>180</v>
      </c>
      <c r="B117" s="130">
        <v>5005</v>
      </c>
      <c r="C117" s="75">
        <v>6.3761955400000001E-2</v>
      </c>
      <c r="D117" s="24">
        <v>4715</v>
      </c>
      <c r="E117" s="25">
        <f t="shared" si="58"/>
        <v>-5.7942057942057944E-2</v>
      </c>
      <c r="F117" s="100">
        <f>IF(ISNUMBER(D117), $B118 * E117, "")</f>
        <v>-8691.3086913086918</v>
      </c>
      <c r="G117" s="98">
        <v>5155</v>
      </c>
      <c r="H117" s="25">
        <f t="shared" si="59"/>
        <v>2.9970029970029972E-2</v>
      </c>
      <c r="I117" s="99">
        <f>IF(ISNUMBER(G117), $B118 * H117, "")</f>
        <v>4495.5044955044959</v>
      </c>
      <c r="J117" s="24">
        <v>5150</v>
      </c>
      <c r="K117" s="25">
        <f t="shared" si="60"/>
        <v>2.8971028971028972E-2</v>
      </c>
      <c r="L117" s="100">
        <f>IF(ISNUMBER(J117), $B118 * K117, "")</f>
        <v>4345.6543456543459</v>
      </c>
      <c r="M117" s="98">
        <v>5075</v>
      </c>
      <c r="N117" s="25">
        <f t="shared" si="61"/>
        <v>1.3986013986013986E-2</v>
      </c>
      <c r="O117" s="100">
        <f>IF(ISNUMBER(M117), $B118 * N117, "")</f>
        <v>2097.9020979020979</v>
      </c>
      <c r="Q117" s="300"/>
      <c r="R117" s="301"/>
      <c r="S117" s="302"/>
    </row>
    <row r="118" spans="1:19" ht="17.25" thickBot="1">
      <c r="A118" s="131" t="s">
        <v>301</v>
      </c>
      <c r="B118" s="308">
        <f>$B$37</f>
        <v>150000</v>
      </c>
      <c r="C118" s="309"/>
      <c r="D118" s="26" t="s">
        <v>302</v>
      </c>
      <c r="E118" s="27">
        <f>IF(COUNT(E98:E117), SUM(E98:E117) / COUNT(E98:E117), 0)</f>
        <v>-8.0703843448365217E-2</v>
      </c>
      <c r="F118" s="28">
        <f>SUM(F98:F117)</f>
        <v>-242111.53034509567</v>
      </c>
      <c r="G118" s="26" t="s">
        <v>302</v>
      </c>
      <c r="H118" s="27">
        <f>IF(COUNT(H98:H117), SUM(H98:H117) / COUNT(H98:H117), 0)</f>
        <v>-4.4860469504375153E-2</v>
      </c>
      <c r="I118" s="28">
        <f>SUM(I98:I117)</f>
        <v>-134581.40851312547</v>
      </c>
      <c r="J118" s="26" t="s">
        <v>302</v>
      </c>
      <c r="K118" s="27">
        <f>IF(COUNT(K98:K117), SUM(K98:K117) / COUNT(K98:K117), 0)</f>
        <v>-4.6525226607347502E-2</v>
      </c>
      <c r="L118" s="28">
        <f>SUM(L98:L117)</f>
        <v>-139575.67982204256</v>
      </c>
      <c r="M118" s="26" t="s">
        <v>302</v>
      </c>
      <c r="N118" s="27">
        <f>IF(COUNT(N98:N117), SUM(N98:N117) / COUNT(N98:N117), 0)</f>
        <v>-5.045158772846179E-2</v>
      </c>
      <c r="O118" s="28">
        <f>SUM(O98:O117)</f>
        <v>-151354.76318538532</v>
      </c>
      <c r="Q118" s="303"/>
      <c r="R118" s="304"/>
      <c r="S118" s="305"/>
    </row>
    <row r="120" spans="1:19" ht="17.25" thickBot="1"/>
    <row r="121" spans="1:19" ht="17.25" thickBot="1">
      <c r="A121" s="249" t="s">
        <v>288</v>
      </c>
      <c r="B121" s="250"/>
      <c r="C121" s="250"/>
      <c r="D121" s="250"/>
      <c r="E121" s="250"/>
      <c r="F121" s="250"/>
      <c r="G121" s="250"/>
      <c r="H121" s="250"/>
      <c r="I121" s="250"/>
      <c r="J121" s="250"/>
      <c r="K121" s="250"/>
      <c r="L121" s="250"/>
      <c r="M121" s="250"/>
      <c r="N121" s="250"/>
      <c r="O121" s="251"/>
      <c r="Q121" s="270"/>
      <c r="R121" s="270"/>
      <c r="S121" s="270"/>
    </row>
    <row r="122" spans="1:19" ht="17.25" thickBot="1">
      <c r="A122" s="167" t="s">
        <v>298</v>
      </c>
      <c r="B122" s="249" t="s">
        <v>49</v>
      </c>
      <c r="C122" s="251"/>
      <c r="D122" s="249" t="s">
        <v>58</v>
      </c>
      <c r="E122" s="250"/>
      <c r="F122" s="251"/>
      <c r="G122" s="276">
        <f>_xlfn.IFNA(VLOOKUP(B122, 현재가테이블!$B$2:$D$200, 2, FALSE), "-")</f>
        <v>60874000</v>
      </c>
      <c r="H122" s="277"/>
      <c r="I122" s="278"/>
      <c r="J122" s="249" t="s">
        <v>59</v>
      </c>
      <c r="K122" s="250"/>
      <c r="L122" s="251"/>
      <c r="M122" s="279">
        <f>_xlfn.IFNA(VLOOKUP(B122, 현재가테이블!$B$2:$D$200, 3, FALSE), "-")</f>
        <v>-1.4936000099999999E-2</v>
      </c>
      <c r="N122" s="280"/>
      <c r="O122" s="281"/>
      <c r="Q122" s="270"/>
      <c r="R122" s="270"/>
      <c r="S122" s="270"/>
    </row>
    <row r="123" spans="1:19" ht="17.25" thickBot="1">
      <c r="A123" s="310" t="s">
        <v>55</v>
      </c>
      <c r="B123" s="312" t="str">
        <f>TEXT($G$1, "[$-ko-KR]yyyy-mm-dd(ddd) ") &amp; "오전 00:00"</f>
        <v>2021-05-08(토) 오전 00:00</v>
      </c>
      <c r="C123" s="313"/>
      <c r="D123" s="272" t="str">
        <f>TEXT($G$1, "[$-ko-KR]yyyy-mm-dd(ddd) ") &amp; "오후 14:00"</f>
        <v>2021-05-08(토) 오후 14:00</v>
      </c>
      <c r="E123" s="273"/>
      <c r="F123" s="274"/>
      <c r="G123" s="272" t="str">
        <f>TEXT($G$1, "[$-ko-KR]yyyy-mm-dd(ddd) ") &amp; "오후 19:00"</f>
        <v>2021-05-08(토) 오후 19:00</v>
      </c>
      <c r="H123" s="273"/>
      <c r="I123" s="274"/>
      <c r="J123" s="272" t="str">
        <f>TEXT($G$1, "[$-ko-KR]yyyy-mm-dd(ddd) ") &amp; "오후 21:00"</f>
        <v>2021-05-08(토) 오후 21:00</v>
      </c>
      <c r="K123" s="273"/>
      <c r="L123" s="274"/>
      <c r="M123" s="272" t="str">
        <f>TEXT($G$1+1, "[$-ko-KR]yyyy-mm-dd(ddd) ") &amp; "오전 00:00"</f>
        <v>2021-05-09(일) 오전 00:00</v>
      </c>
      <c r="N123" s="273"/>
      <c r="O123" s="274"/>
      <c r="Q123" s="270"/>
      <c r="R123" s="270"/>
      <c r="S123" s="270"/>
    </row>
    <row r="124" spans="1:19" ht="17.25" thickBot="1">
      <c r="A124" s="311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8" t="s">
        <v>58</v>
      </c>
      <c r="H124" s="169" t="s">
        <v>299</v>
      </c>
      <c r="I124" s="17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75"/>
      <c r="R124" s="275"/>
      <c r="S124" s="275"/>
    </row>
    <row r="125" spans="1:19" ht="17.25" thickBot="1">
      <c r="A125" s="122" t="s">
        <v>65</v>
      </c>
      <c r="B125" s="123">
        <v>84.8</v>
      </c>
      <c r="C125" s="72">
        <v>7.8880407099999994E-2</v>
      </c>
      <c r="D125" s="13">
        <v>79.599999999999994</v>
      </c>
      <c r="E125" s="14">
        <f>IF(ISNUMBER(D125), (D125 - $B125) / $B125, "")</f>
        <v>-6.1320754716981167E-2</v>
      </c>
      <c r="F125" s="16">
        <f>IF(ISNUMBER(D125), $B145 * E125, "")</f>
        <v>-9198.1132075471742</v>
      </c>
      <c r="G125" s="29">
        <v>79.7</v>
      </c>
      <c r="H125" s="14">
        <f>IF(ISNUMBER(G125), (G125 - $B125) / $B125, "")</f>
        <v>-6.0141509433962202E-2</v>
      </c>
      <c r="I125" s="96">
        <f>IF(ISNUMBER(G125), $B145 * H125, "")</f>
        <v>-9021.2264150943302</v>
      </c>
      <c r="J125" s="13">
        <v>79.099999999999994</v>
      </c>
      <c r="K125" s="14">
        <f>IF(ISNUMBER(J125), (J125 - $B125) / $B125, "")</f>
        <v>-6.7216981132075512E-2</v>
      </c>
      <c r="L125" s="16">
        <f>IF(ISNUMBER(J125), $B145 * K125, "")</f>
        <v>-10082.547169811327</v>
      </c>
      <c r="M125" s="29">
        <v>79.5</v>
      </c>
      <c r="N125" s="14">
        <f>IF(ISNUMBER(M125), (M125 - $B125) / $B125, "")</f>
        <v>-6.2499999999999965E-2</v>
      </c>
      <c r="O125" s="16">
        <f>IF(ISNUMBER(M125), $B145 * N125, "")</f>
        <v>-9374.9999999999945</v>
      </c>
      <c r="Q125" s="270"/>
      <c r="R125" s="270"/>
      <c r="S125" s="270"/>
    </row>
    <row r="126" spans="1:19" ht="17.25" thickBot="1">
      <c r="A126" s="124" t="s">
        <v>172</v>
      </c>
      <c r="B126" s="125">
        <v>25.9</v>
      </c>
      <c r="C126" s="73">
        <v>5.2845528500000002E-2</v>
      </c>
      <c r="D126" s="15">
        <v>25.2</v>
      </c>
      <c r="E126" s="32">
        <f t="shared" ref="E126:E129" si="62">IF(ISNUMBER(D126), (D126 - $B126) / $B126, "")</f>
        <v>-2.7027027027027001E-2</v>
      </c>
      <c r="F126" s="18">
        <f>IF(ISNUMBER(D126), $B145 * E126, "")</f>
        <v>-4054.0540540540501</v>
      </c>
      <c r="G126" s="31">
        <v>25</v>
      </c>
      <c r="H126" s="32">
        <f t="shared" ref="H126:H129" si="63">IF(ISNUMBER(G126), (G126 - $B126) / $B126, "")</f>
        <v>-3.4749034749034693E-2</v>
      </c>
      <c r="I126" s="97">
        <f>IF(ISNUMBER(G126), $B145 * H126, "")</f>
        <v>-5212.3552123552045</v>
      </c>
      <c r="J126" s="15">
        <v>25.1</v>
      </c>
      <c r="K126" s="32">
        <f t="shared" ref="K126:K129" si="64">IF(ISNUMBER(J126), (J126 - $B126) / $B126, "")</f>
        <v>-3.0888030888030781E-2</v>
      </c>
      <c r="L126" s="18">
        <f>IF(ISNUMBER(J126), $B145 * K126, "")</f>
        <v>-4633.2046332046175</v>
      </c>
      <c r="M126" s="31">
        <v>25.1</v>
      </c>
      <c r="N126" s="32">
        <f t="shared" ref="N126:N129" si="65">IF(ISNUMBER(M126), (M126 - $B126) / $B126, "")</f>
        <v>-3.0888030888030781E-2</v>
      </c>
      <c r="O126" s="18">
        <f>IF(ISNUMBER(M126), $B145 * N126, "")</f>
        <v>-4633.2046332046175</v>
      </c>
      <c r="Q126" s="270"/>
      <c r="R126" s="270"/>
      <c r="S126" s="270"/>
    </row>
    <row r="127" spans="1:19" ht="17.25" thickBot="1">
      <c r="A127" s="124" t="s">
        <v>218</v>
      </c>
      <c r="B127" s="125">
        <v>29.1</v>
      </c>
      <c r="C127" s="73">
        <v>4.3010752700000002E-2</v>
      </c>
      <c r="D127" s="15">
        <v>27.8</v>
      </c>
      <c r="E127" s="32">
        <f t="shared" si="62"/>
        <v>-4.4673539518900365E-2</v>
      </c>
      <c r="F127" s="18">
        <f>IF(ISNUMBER(D127), $B145 * E127, "")</f>
        <v>-6701.0309278350551</v>
      </c>
      <c r="G127" s="31">
        <v>27.8</v>
      </c>
      <c r="H127" s="32">
        <f t="shared" si="63"/>
        <v>-4.4673539518900365E-2</v>
      </c>
      <c r="I127" s="97">
        <f>IF(ISNUMBER(G127), $B145 * H127, "")</f>
        <v>-6701.0309278350551</v>
      </c>
      <c r="J127" s="15">
        <v>27.9</v>
      </c>
      <c r="K127" s="32">
        <f t="shared" si="64"/>
        <v>-4.1237113402061952E-2</v>
      </c>
      <c r="L127" s="18">
        <f>IF(ISNUMBER(J127), $B145 * K127, "")</f>
        <v>-6185.5670103092925</v>
      </c>
      <c r="M127" s="31">
        <v>27.9</v>
      </c>
      <c r="N127" s="32">
        <f t="shared" si="65"/>
        <v>-4.1237113402061952E-2</v>
      </c>
      <c r="O127" s="18">
        <f>IF(ISNUMBER(M127), $B145 * N127, "")</f>
        <v>-6185.5670103092925</v>
      </c>
      <c r="Q127" s="275"/>
      <c r="R127" s="275"/>
      <c r="S127" s="275"/>
    </row>
    <row r="128" spans="1:19" ht="17.25" thickBot="1">
      <c r="A128" s="124" t="s">
        <v>152</v>
      </c>
      <c r="B128" s="125">
        <v>52.3</v>
      </c>
      <c r="C128" s="73">
        <v>3.5643564400000001E-2</v>
      </c>
      <c r="D128" s="15">
        <v>50.1</v>
      </c>
      <c r="E128" s="32">
        <f t="shared" si="62"/>
        <v>-4.2065009560229363E-2</v>
      </c>
      <c r="F128" s="18">
        <f>IF(ISNUMBER(D128), $B145 * E128, "")</f>
        <v>-6309.7514340344042</v>
      </c>
      <c r="G128" s="31">
        <v>50.1</v>
      </c>
      <c r="H128" s="32">
        <f t="shared" si="63"/>
        <v>-4.2065009560229363E-2</v>
      </c>
      <c r="I128" s="97">
        <f>IF(ISNUMBER(G128), $B145 * H128, "")</f>
        <v>-6309.7514340344042</v>
      </c>
      <c r="J128" s="15">
        <v>50</v>
      </c>
      <c r="K128" s="32">
        <f t="shared" si="64"/>
        <v>-4.3977055449330733E-2</v>
      </c>
      <c r="L128" s="18">
        <f>IF(ISNUMBER(J128), $B145 * K128, "")</f>
        <v>-6596.5583173996101</v>
      </c>
      <c r="M128" s="31">
        <v>49.7</v>
      </c>
      <c r="N128" s="32">
        <f t="shared" si="65"/>
        <v>-4.9713193116634691E-2</v>
      </c>
      <c r="O128" s="18">
        <f>IF(ISNUMBER(M128), $B145 * N128, "")</f>
        <v>-7456.9789674952035</v>
      </c>
      <c r="Q128" s="275"/>
      <c r="R128" s="275"/>
      <c r="S128" s="275"/>
    </row>
    <row r="129" spans="1:19" ht="17.25" thickBot="1">
      <c r="A129" s="126" t="s">
        <v>222</v>
      </c>
      <c r="B129" s="127">
        <v>18.899999999999999</v>
      </c>
      <c r="C129" s="74">
        <v>2.7173913000000001E-2</v>
      </c>
      <c r="D129" s="20">
        <v>18.5</v>
      </c>
      <c r="E129" s="21">
        <f t="shared" si="62"/>
        <v>-2.116402116402109E-2</v>
      </c>
      <c r="F129" s="22">
        <f>IF(ISNUMBER(D129), $B145 * E129, "")</f>
        <v>-3174.6031746031636</v>
      </c>
      <c r="G129" s="30">
        <v>18.7</v>
      </c>
      <c r="H129" s="21">
        <f t="shared" si="63"/>
        <v>-1.0582010582010545E-2</v>
      </c>
      <c r="I129" s="101">
        <f>IF(ISNUMBER(G129), $B145 * H129, "")</f>
        <v>-1587.3015873015818</v>
      </c>
      <c r="J129" s="20">
        <v>18.7</v>
      </c>
      <c r="K129" s="21">
        <f t="shared" si="64"/>
        <v>-1.0582010582010545E-2</v>
      </c>
      <c r="L129" s="22">
        <f>IF(ISNUMBER(J129), $B145 * K129, "")</f>
        <v>-1587.3015873015818</v>
      </c>
      <c r="M129" s="30">
        <v>18.600000000000001</v>
      </c>
      <c r="N129" s="21">
        <f t="shared" si="65"/>
        <v>-1.5873015873015723E-2</v>
      </c>
      <c r="O129" s="22">
        <f>IF(ISNUMBER(M129), $B145 * N129, "")</f>
        <v>-2380.9523809523585</v>
      </c>
      <c r="Q129" s="275"/>
      <c r="R129" s="275"/>
      <c r="S129" s="275"/>
    </row>
    <row r="130" spans="1:19" ht="17.25" thickBot="1">
      <c r="A130" s="124" t="s">
        <v>236</v>
      </c>
      <c r="B130" s="128">
        <v>69.3</v>
      </c>
      <c r="C130" s="76">
        <v>2.3633678000000002E-2</v>
      </c>
      <c r="D130" s="102">
        <v>67</v>
      </c>
      <c r="E130" s="103">
        <f>IF(ISNUMBER(D130), (D130 - $B130) / $B130, "")</f>
        <v>-3.318903318903315E-2</v>
      </c>
      <c r="F130" s="104">
        <f>IF(ISNUMBER(D130), $B145 * E130, "")</f>
        <v>-4978.3549783549724</v>
      </c>
      <c r="G130" s="105">
        <v>67.400000000000006</v>
      </c>
      <c r="H130" s="103">
        <f>IF(ISNUMBER(G130), (G130 - $B130) / $B130, "")</f>
        <v>-2.7417027417027295E-2</v>
      </c>
      <c r="I130" s="106">
        <f>IF(ISNUMBER(G130), $B145 * H130, "")</f>
        <v>-4112.554112554094</v>
      </c>
      <c r="J130" s="102">
        <v>67.5</v>
      </c>
      <c r="K130" s="103">
        <f>IF(ISNUMBER(J130), (J130 - $B130) / $B130, "")</f>
        <v>-2.5974025974025934E-2</v>
      </c>
      <c r="L130" s="104">
        <f>IF(ISNUMBER(J130), $B145 * K130, "")</f>
        <v>-3896.1038961038903</v>
      </c>
      <c r="M130" s="105">
        <v>67.400000000000006</v>
      </c>
      <c r="N130" s="103">
        <f>IF(ISNUMBER(M130), (M130 - $B130) / $B130, "")</f>
        <v>-2.7417027417027295E-2</v>
      </c>
      <c r="O130" s="104">
        <f>IF(ISNUMBER(M130), $B145 * N130, "")</f>
        <v>-4112.554112554094</v>
      </c>
      <c r="Q130" s="275"/>
      <c r="R130" s="275"/>
      <c r="S130" s="275"/>
    </row>
    <row r="131" spans="1:19" ht="17.25" thickBot="1">
      <c r="A131" s="124" t="s">
        <v>196</v>
      </c>
      <c r="B131" s="125">
        <v>20.6</v>
      </c>
      <c r="C131" s="73">
        <v>1.9801980199999999E-2</v>
      </c>
      <c r="D131" s="15">
        <v>20.2</v>
      </c>
      <c r="E131" s="32">
        <f t="shared" ref="E131:E134" si="66">IF(ISNUMBER(D131), (D131 - $B131) / $B131, "")</f>
        <v>-1.9417475728155442E-2</v>
      </c>
      <c r="F131" s="18">
        <f>IF(ISNUMBER(D131), $B145 * E131, "")</f>
        <v>-2912.6213592233162</v>
      </c>
      <c r="G131" s="31">
        <v>20.3</v>
      </c>
      <c r="H131" s="32">
        <f t="shared" ref="H131:H134" si="67">IF(ISNUMBER(G131), (G131 - $B131) / $B131, "")</f>
        <v>-1.4563106796116538E-2</v>
      </c>
      <c r="I131" s="97">
        <f>IF(ISNUMBER(G131), $B145 * H131, "")</f>
        <v>-2184.4660194174808</v>
      </c>
      <c r="J131" s="15">
        <v>20.5</v>
      </c>
      <c r="K131" s="32">
        <f t="shared" ref="K131:K134" si="68">IF(ISNUMBER(J131), (J131 - $B131) / $B131, "")</f>
        <v>-4.8543689320389039E-3</v>
      </c>
      <c r="L131" s="18">
        <f>IF(ISNUMBER(J131), $B145 * K131, "")</f>
        <v>-728.15533980583564</v>
      </c>
      <c r="M131" s="31">
        <v>20.5</v>
      </c>
      <c r="N131" s="32">
        <f t="shared" ref="N131:N134" si="69">IF(ISNUMBER(M131), (M131 - $B131) / $B131, "")</f>
        <v>-4.8543689320389039E-3</v>
      </c>
      <c r="O131" s="18">
        <f>IF(ISNUMBER(M131), $B145 * N131, "")</f>
        <v>-728.15533980583564</v>
      </c>
      <c r="Q131" s="275"/>
      <c r="R131" s="275"/>
      <c r="S131" s="275"/>
    </row>
    <row r="132" spans="1:19" ht="17.25" thickBot="1">
      <c r="A132" s="124" t="s">
        <v>100</v>
      </c>
      <c r="B132" s="125">
        <v>9.85</v>
      </c>
      <c r="C132" s="73">
        <v>1.7561983499999999E-2</v>
      </c>
      <c r="D132" s="15">
        <v>9.32</v>
      </c>
      <c r="E132" s="32">
        <f t="shared" si="66"/>
        <v>-5.3807106598984709E-2</v>
      </c>
      <c r="F132" s="18">
        <f>IF(ISNUMBER(D132), $B145 * E132, "")</f>
        <v>-8071.0659898477061</v>
      </c>
      <c r="G132" s="31">
        <v>9.39</v>
      </c>
      <c r="H132" s="32">
        <f t="shared" si="67"/>
        <v>-4.6700507614213106E-2</v>
      </c>
      <c r="I132" s="97">
        <f>IF(ISNUMBER(G132), $B145 * H132, "")</f>
        <v>-7005.0761421319658</v>
      </c>
      <c r="J132" s="15">
        <v>9.3699999999999992</v>
      </c>
      <c r="K132" s="32">
        <f t="shared" si="68"/>
        <v>-4.8730964467005124E-2</v>
      </c>
      <c r="L132" s="18">
        <f>IF(ISNUMBER(J132), $B145 * K132, "")</f>
        <v>-7309.6446700507686</v>
      </c>
      <c r="M132" s="31">
        <v>9.2200000000000006</v>
      </c>
      <c r="N132" s="32">
        <f t="shared" si="69"/>
        <v>-6.3959390862944068E-2</v>
      </c>
      <c r="O132" s="18">
        <f>IF(ISNUMBER(M132), $B145 * N132, "")</f>
        <v>-9593.9086294416102</v>
      </c>
      <c r="Q132" s="275"/>
      <c r="R132" s="275"/>
      <c r="S132" s="275"/>
    </row>
    <row r="133" spans="1:19" ht="17.25" thickBot="1">
      <c r="A133" s="124" t="s">
        <v>214</v>
      </c>
      <c r="B133" s="125">
        <v>22.1</v>
      </c>
      <c r="C133" s="73">
        <v>9.1324201000000001E-3</v>
      </c>
      <c r="D133" s="15">
        <v>21.6</v>
      </c>
      <c r="E133" s="32">
        <f t="shared" si="66"/>
        <v>-2.2624434389140271E-2</v>
      </c>
      <c r="F133" s="18">
        <f>IF(ISNUMBER(D133), $B145 * E133, "")</f>
        <v>-3393.6651583710404</v>
      </c>
      <c r="G133" s="31">
        <v>21.8</v>
      </c>
      <c r="H133" s="32">
        <f t="shared" si="67"/>
        <v>-1.3574660633484194E-2</v>
      </c>
      <c r="I133" s="97">
        <f>IF(ISNUMBER(G133), $B145 * H133, "")</f>
        <v>-2036.1990950226291</v>
      </c>
      <c r="J133" s="15">
        <v>21.7</v>
      </c>
      <c r="K133" s="32">
        <f t="shared" si="68"/>
        <v>-1.8099547511312312E-2</v>
      </c>
      <c r="L133" s="18">
        <f>IF(ISNUMBER(J133), $B145 * K133, "")</f>
        <v>-2714.9321266968468</v>
      </c>
      <c r="M133" s="31">
        <v>21.6</v>
      </c>
      <c r="N133" s="32">
        <f t="shared" si="69"/>
        <v>-2.2624434389140271E-2</v>
      </c>
      <c r="O133" s="18">
        <f>IF(ISNUMBER(M133), $B145 * N133, "")</f>
        <v>-3393.6651583710404</v>
      </c>
      <c r="Q133" s="33"/>
      <c r="R133" s="33"/>
    </row>
    <row r="134" spans="1:19" ht="17.25" thickBot="1">
      <c r="A134" s="129" t="s">
        <v>186</v>
      </c>
      <c r="B134" s="130">
        <v>25.3</v>
      </c>
      <c r="C134" s="75">
        <v>7.9681274999999999E-3</v>
      </c>
      <c r="D134" s="24">
        <v>25.5</v>
      </c>
      <c r="E134" s="25">
        <f t="shared" si="66"/>
        <v>7.9051383399209203E-3</v>
      </c>
      <c r="F134" s="100">
        <f>IF(ISNUMBER(D134), $B145 * E134, "")</f>
        <v>1185.7707509881382</v>
      </c>
      <c r="G134" s="98">
        <v>25.3</v>
      </c>
      <c r="H134" s="25">
        <f t="shared" si="67"/>
        <v>0</v>
      </c>
      <c r="I134" s="99">
        <f>IF(ISNUMBER(G134), $B145 * H134, "")</f>
        <v>0</v>
      </c>
      <c r="J134" s="24">
        <v>25.8</v>
      </c>
      <c r="K134" s="25">
        <f t="shared" si="68"/>
        <v>1.9762845849802372E-2</v>
      </c>
      <c r="L134" s="100">
        <f>IF(ISNUMBER(J134), $B145 * K134, "")</f>
        <v>2964.426877470356</v>
      </c>
      <c r="M134" s="98">
        <v>25.2</v>
      </c>
      <c r="N134" s="25">
        <f t="shared" si="69"/>
        <v>-3.9525691699605304E-3</v>
      </c>
      <c r="O134" s="100">
        <f>IF(ISNUMBER(M134), $B145 * N134, "")</f>
        <v>-592.88537549407954</v>
      </c>
      <c r="Q134" s="284"/>
      <c r="R134" s="285"/>
      <c r="S134" s="286"/>
    </row>
    <row r="135" spans="1:19">
      <c r="A135" s="122" t="s">
        <v>198</v>
      </c>
      <c r="B135" s="123">
        <v>28.1</v>
      </c>
      <c r="C135" s="72">
        <v>7.1684588000000002E-3</v>
      </c>
      <c r="D135" s="13">
        <v>27.8</v>
      </c>
      <c r="E135" s="14">
        <f>IF(ISNUMBER(D135), (D135 - $B135) / $B135, "")</f>
        <v>-1.0676156583629918E-2</v>
      </c>
      <c r="F135" s="16">
        <f>IF(ISNUMBER(D135), $B145 * E135, "")</f>
        <v>-1601.4234875444877</v>
      </c>
      <c r="G135" s="29">
        <v>27.9</v>
      </c>
      <c r="H135" s="14">
        <f>IF(ISNUMBER(G135), (G135 - $B135) / $B135, "")</f>
        <v>-7.1174377224200299E-3</v>
      </c>
      <c r="I135" s="96">
        <f>IF(ISNUMBER(G135), $B145 * H135, "")</f>
        <v>-1067.6156583630045</v>
      </c>
      <c r="J135" s="13">
        <v>27.9</v>
      </c>
      <c r="K135" s="14">
        <f>IF(ISNUMBER(J135), (J135 - $B135) / $B135, "")</f>
        <v>-7.1174377224200299E-3</v>
      </c>
      <c r="L135" s="16">
        <f>IF(ISNUMBER(J135), $B145 * K135, "")</f>
        <v>-1067.6156583630045</v>
      </c>
      <c r="M135" s="29">
        <v>27.7</v>
      </c>
      <c r="N135" s="14">
        <f>IF(ISNUMBER(M135), (M135 - $B135) / $B135, "")</f>
        <v>-1.4234875444839933E-2</v>
      </c>
      <c r="O135" s="16">
        <f>IF(ISNUMBER(M135), $B145 * N135, "")</f>
        <v>-2135.2313167259899</v>
      </c>
      <c r="Q135" s="287"/>
      <c r="R135" s="288"/>
      <c r="S135" s="289"/>
    </row>
    <row r="136" spans="1:19" ht="17.25" thickBot="1">
      <c r="A136" s="124" t="s">
        <v>154</v>
      </c>
      <c r="B136" s="125">
        <v>20.8</v>
      </c>
      <c r="C136" s="73">
        <v>4.8309179000000004E-3</v>
      </c>
      <c r="D136" s="15">
        <v>20.6</v>
      </c>
      <c r="E136" s="32">
        <f t="shared" ref="E136:E139" si="70">IF(ISNUMBER(D136), (D136 - $B136) / $B136, "")</f>
        <v>-9.6153846153845812E-3</v>
      </c>
      <c r="F136" s="18">
        <f>IF(ISNUMBER(D136), $B145 * E136, "")</f>
        <v>-1442.3076923076871</v>
      </c>
      <c r="G136" s="31">
        <v>20.9</v>
      </c>
      <c r="H136" s="32">
        <f t="shared" ref="H136:H139" si="71">IF(ISNUMBER(G136), (G136 - $B136) / $B136, "")</f>
        <v>4.8076923076922047E-3</v>
      </c>
      <c r="I136" s="97">
        <f>IF(ISNUMBER(G136), $B145 * H136, "")</f>
        <v>721.15384615383073</v>
      </c>
      <c r="J136" s="15">
        <v>20.8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21.5</v>
      </c>
      <c r="N136" s="32">
        <f t="shared" ref="N136:N139" si="73">IF(ISNUMBER(M136), (M136 - $B136) / $B136, "")</f>
        <v>3.3653846153846118E-2</v>
      </c>
      <c r="O136" s="18">
        <f>IF(ISNUMBER(M136), $B145 * N136, "")</f>
        <v>5048.0769230769174</v>
      </c>
      <c r="Q136" s="290"/>
      <c r="R136" s="291"/>
      <c r="S136" s="292"/>
    </row>
    <row r="137" spans="1:19" ht="17.25" thickBot="1">
      <c r="A137" s="124" t="s">
        <v>126</v>
      </c>
      <c r="B137" s="125">
        <v>61</v>
      </c>
      <c r="C137" s="73">
        <v>-4.8939641000000002E-3</v>
      </c>
      <c r="D137" s="15">
        <v>60.4</v>
      </c>
      <c r="E137" s="32">
        <f t="shared" si="70"/>
        <v>-9.8360655737705152E-3</v>
      </c>
      <c r="F137" s="18">
        <f>IF(ISNUMBER(D137), $B145 * E137, "")</f>
        <v>-1475.4098360655773</v>
      </c>
      <c r="G137" s="31">
        <v>61.2</v>
      </c>
      <c r="H137" s="32">
        <f t="shared" si="71"/>
        <v>3.2786885245902103E-3</v>
      </c>
      <c r="I137" s="97">
        <f>IF(ISNUMBER(G137), $B145 * H137, "")</f>
        <v>491.80327868853158</v>
      </c>
      <c r="J137" s="15">
        <v>61.3</v>
      </c>
      <c r="K137" s="32">
        <f t="shared" si="72"/>
        <v>4.9180327868851995E-3</v>
      </c>
      <c r="L137" s="18">
        <f>IF(ISNUMBER(J137), $B145 * K137, "")</f>
        <v>737.70491803277991</v>
      </c>
      <c r="M137" s="31">
        <v>60.6</v>
      </c>
      <c r="N137" s="32">
        <f t="shared" si="73"/>
        <v>-6.5573770491803044E-3</v>
      </c>
      <c r="O137" s="18">
        <f>IF(ISNUMBER(M137), $B145 * N137, "")</f>
        <v>-983.60655737704565</v>
      </c>
      <c r="Q137" s="275"/>
      <c r="R137" s="275"/>
      <c r="S137" s="275"/>
    </row>
    <row r="138" spans="1:19" ht="17.25" thickBot="1">
      <c r="A138" s="124" t="s">
        <v>228</v>
      </c>
      <c r="B138" s="125">
        <v>18.3</v>
      </c>
      <c r="C138" s="73">
        <v>-5.4347826000000002E-3</v>
      </c>
      <c r="D138" s="15">
        <v>18.100000000000001</v>
      </c>
      <c r="E138" s="32">
        <f t="shared" si="70"/>
        <v>-1.092896174863384E-2</v>
      </c>
      <c r="F138" s="18">
        <f>IF(ISNUMBER(D138), $B145 * E138, "")</f>
        <v>-1639.3442622950761</v>
      </c>
      <c r="G138" s="31">
        <v>18.3</v>
      </c>
      <c r="H138" s="32">
        <f t="shared" si="71"/>
        <v>0</v>
      </c>
      <c r="I138" s="97">
        <f>IF(ISNUMBER(G138), $B145 * H138, "")</f>
        <v>0</v>
      </c>
      <c r="J138" s="15">
        <v>18.100000000000001</v>
      </c>
      <c r="K138" s="32">
        <f t="shared" si="72"/>
        <v>-1.092896174863384E-2</v>
      </c>
      <c r="L138" s="18">
        <f>IF(ISNUMBER(J138), $B145 * K138, "")</f>
        <v>-1639.3442622950761</v>
      </c>
      <c r="M138" s="31">
        <v>18.2</v>
      </c>
      <c r="N138" s="32">
        <f t="shared" si="73"/>
        <v>-5.4644808743170171E-3</v>
      </c>
      <c r="O138" s="18">
        <f>IF(ISNUMBER(M138), $B145 * N138, "")</f>
        <v>-819.67213114755259</v>
      </c>
      <c r="Q138" s="270"/>
      <c r="R138" s="270"/>
      <c r="S138" s="270"/>
    </row>
    <row r="139" spans="1:19" ht="17.25" thickBot="1">
      <c r="A139" s="126" t="s">
        <v>72</v>
      </c>
      <c r="B139" s="127">
        <v>39.1</v>
      </c>
      <c r="C139" s="74">
        <v>-7.6142132E-3</v>
      </c>
      <c r="D139" s="20">
        <v>38.1</v>
      </c>
      <c r="E139" s="21">
        <f t="shared" si="70"/>
        <v>-2.557544757033248E-2</v>
      </c>
      <c r="F139" s="22">
        <f>IF(ISNUMBER(D139), $B145 * E139, "")</f>
        <v>-3836.3171355498721</v>
      </c>
      <c r="G139" s="30">
        <v>38.299999999999997</v>
      </c>
      <c r="H139" s="21">
        <f t="shared" si="71"/>
        <v>-2.0460358056266094E-2</v>
      </c>
      <c r="I139" s="101">
        <f>IF(ISNUMBER(G139), $B145 * H139, "")</f>
        <v>-3069.0537084399139</v>
      </c>
      <c r="J139" s="20">
        <v>38.299999999999997</v>
      </c>
      <c r="K139" s="21">
        <f t="shared" si="72"/>
        <v>-2.0460358056266094E-2</v>
      </c>
      <c r="L139" s="22">
        <f>IF(ISNUMBER(J139), $B145 * K139, "")</f>
        <v>-3069.0537084399139</v>
      </c>
      <c r="M139" s="30">
        <v>38.799999999999997</v>
      </c>
      <c r="N139" s="21">
        <f t="shared" si="73"/>
        <v>-7.6726342710998529E-3</v>
      </c>
      <c r="O139" s="22">
        <f>IF(ISNUMBER(M139), $B145 * N139, "")</f>
        <v>-1150.8951406649778</v>
      </c>
      <c r="Q139" s="270"/>
      <c r="R139" s="270"/>
      <c r="S139" s="270"/>
    </row>
    <row r="140" spans="1:19" ht="17.25" thickBot="1">
      <c r="A140" s="124" t="s">
        <v>254</v>
      </c>
      <c r="B140" s="128">
        <v>83.8</v>
      </c>
      <c r="C140" s="76">
        <v>-1.06257379E-2</v>
      </c>
      <c r="D140" s="102">
        <v>84.4</v>
      </c>
      <c r="E140" s="103">
        <f>IF(ISNUMBER(D140), (D140 - $B140) / $B140, "")</f>
        <v>7.1599045346063071E-3</v>
      </c>
      <c r="F140" s="104">
        <f>IF(ISNUMBER(D140), $B145 * E140, "")</f>
        <v>1073.9856801909461</v>
      </c>
      <c r="G140" s="105">
        <v>84.4</v>
      </c>
      <c r="H140" s="103">
        <f>IF(ISNUMBER(G140), (G140 - $B140) / $B140, "")</f>
        <v>7.1599045346063071E-3</v>
      </c>
      <c r="I140" s="106">
        <f>IF(ISNUMBER(G140), $B145 * H140, "")</f>
        <v>1073.9856801909461</v>
      </c>
      <c r="J140" s="102">
        <v>84.4</v>
      </c>
      <c r="K140" s="103">
        <f>IF(ISNUMBER(J140), (J140 - $B140) / $B140, "")</f>
        <v>7.1599045346063071E-3</v>
      </c>
      <c r="L140" s="104">
        <f>IF(ISNUMBER(J140), $B145 * K140, "")</f>
        <v>1073.9856801909461</v>
      </c>
      <c r="M140" s="105">
        <v>83.8</v>
      </c>
      <c r="N140" s="103">
        <f>IF(ISNUMBER(M140), (M140 - $B140) / $B140, "")</f>
        <v>0</v>
      </c>
      <c r="O140" s="104">
        <f>IF(ISNUMBER(M140), $B145 * N140, "")</f>
        <v>0</v>
      </c>
      <c r="Q140" s="275"/>
      <c r="R140" s="275"/>
      <c r="S140" s="275"/>
    </row>
    <row r="141" spans="1:19" ht="17.25" thickBot="1">
      <c r="A141" s="124" t="s">
        <v>268</v>
      </c>
      <c r="B141" s="125">
        <v>93.4</v>
      </c>
      <c r="C141" s="73">
        <v>-1.37275607E-2</v>
      </c>
      <c r="D141" s="15">
        <v>93.5</v>
      </c>
      <c r="E141" s="32">
        <f t="shared" ref="E141:E144" si="74">IF(ISNUMBER(D141), (D141 - $B141) / $B141, "")</f>
        <v>1.0706638115631083E-3</v>
      </c>
      <c r="F141" s="18">
        <f>IF(ISNUMBER(D141), $B145 * E141, "")</f>
        <v>160.59957173446625</v>
      </c>
      <c r="G141" s="31">
        <v>93.4</v>
      </c>
      <c r="H141" s="32">
        <f t="shared" ref="H141:H144" si="75">IF(ISNUMBER(G141), (G141 - $B141) / $B141, "")</f>
        <v>0</v>
      </c>
      <c r="I141" s="97">
        <f>IF(ISNUMBER(G141), $B145 * H141, "")</f>
        <v>0</v>
      </c>
      <c r="J141" s="15">
        <v>93.4</v>
      </c>
      <c r="K141" s="32">
        <f t="shared" ref="K141:K144" si="76">IF(ISNUMBER(J141), (J141 - $B141) / $B141, "")</f>
        <v>0</v>
      </c>
      <c r="L141" s="18">
        <f>IF(ISNUMBER(J141), $B145 * K141, "")</f>
        <v>0</v>
      </c>
      <c r="M141" s="31">
        <v>92.3</v>
      </c>
      <c r="N141" s="32">
        <f t="shared" ref="N141:N144" si="77">IF(ISNUMBER(M141), (M141 - $B141) / $B141, "")</f>
        <v>-1.1777301927194951E-2</v>
      </c>
      <c r="O141" s="18">
        <f>IF(ISNUMBER(M141), $B145 * N141, "")</f>
        <v>-1766.5952890792428</v>
      </c>
      <c r="Q141" s="275"/>
      <c r="R141" s="275"/>
      <c r="S141" s="275"/>
    </row>
    <row r="142" spans="1:19" ht="17.25" thickBot="1">
      <c r="A142" s="124" t="s">
        <v>220</v>
      </c>
      <c r="B142" s="125">
        <v>20.6</v>
      </c>
      <c r="C142" s="73">
        <v>-1.4354067E-2</v>
      </c>
      <c r="D142" s="15">
        <v>20.5</v>
      </c>
      <c r="E142" s="32">
        <f t="shared" si="74"/>
        <v>-4.8543689320389039E-3</v>
      </c>
      <c r="F142" s="18">
        <f>IF(ISNUMBER(D142), $B145 * E142, "")</f>
        <v>-728.15533980583564</v>
      </c>
      <c r="G142" s="31">
        <v>20.399999999999999</v>
      </c>
      <c r="H142" s="32">
        <f t="shared" si="75"/>
        <v>-9.7087378640778078E-3</v>
      </c>
      <c r="I142" s="97">
        <f>IF(ISNUMBER(G142), $B145 * H142, "")</f>
        <v>-1456.3106796116713</v>
      </c>
      <c r="J142" s="15">
        <v>20.7</v>
      </c>
      <c r="K142" s="32">
        <f t="shared" si="76"/>
        <v>4.8543689320387313E-3</v>
      </c>
      <c r="L142" s="18">
        <f>IF(ISNUMBER(J142), $B145 * K142, "")</f>
        <v>728.15533980580972</v>
      </c>
      <c r="M142" s="31">
        <v>20.399999999999999</v>
      </c>
      <c r="N142" s="32">
        <f t="shared" si="77"/>
        <v>-9.7087378640778078E-3</v>
      </c>
      <c r="O142" s="18">
        <f>IF(ISNUMBER(M142), $B145 * N142, "")</f>
        <v>-1456.3106796116713</v>
      </c>
      <c r="Q142" s="275"/>
      <c r="R142" s="275"/>
      <c r="S142" s="275"/>
    </row>
    <row r="143" spans="1:19">
      <c r="A143" s="124" t="s">
        <v>266</v>
      </c>
      <c r="B143" s="125">
        <v>94.2</v>
      </c>
      <c r="C143" s="73">
        <v>-2.28215768E-2</v>
      </c>
      <c r="D143" s="15">
        <v>92.2</v>
      </c>
      <c r="E143" s="32">
        <f t="shared" si="74"/>
        <v>-2.1231422505307854E-2</v>
      </c>
      <c r="F143" s="18">
        <f>IF(ISNUMBER(D143), $B145 * E143, "")</f>
        <v>-3184.7133757961783</v>
      </c>
      <c r="G143" s="31">
        <v>92.8</v>
      </c>
      <c r="H143" s="32">
        <f t="shared" si="75"/>
        <v>-1.4861995753715558E-2</v>
      </c>
      <c r="I143" s="97">
        <f>IF(ISNUMBER(G143), $B145 * H143, "")</f>
        <v>-2229.2993630573337</v>
      </c>
      <c r="J143" s="15">
        <v>92.9</v>
      </c>
      <c r="K143" s="32">
        <f t="shared" si="76"/>
        <v>-1.3800424628450075E-2</v>
      </c>
      <c r="L143" s="18">
        <f>IF(ISNUMBER(J143), $B145 * K143, "")</f>
        <v>-2070.0636942675114</v>
      </c>
      <c r="M143" s="31">
        <v>92.4</v>
      </c>
      <c r="N143" s="32">
        <f t="shared" si="77"/>
        <v>-1.9108280254777038E-2</v>
      </c>
      <c r="O143" s="18">
        <f>IF(ISNUMBER(M143), $B145 * N143, "")</f>
        <v>-2866.2420382165556</v>
      </c>
      <c r="Q143" s="297"/>
      <c r="R143" s="298"/>
      <c r="S143" s="299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00"/>
      <c r="R144" s="301"/>
      <c r="S144" s="302"/>
    </row>
    <row r="145" spans="1:19" ht="17.25" thickBot="1">
      <c r="A145" s="131" t="s">
        <v>301</v>
      </c>
      <c r="B145" s="308">
        <f>$B$37</f>
        <v>150000</v>
      </c>
      <c r="C145" s="309"/>
      <c r="D145" s="26" t="s">
        <v>302</v>
      </c>
      <c r="E145" s="27">
        <f>IF(COUNT(E125:E144), SUM(E125:E144) / COUNT(E125:E144), 0)</f>
        <v>-2.115107909134107E-2</v>
      </c>
      <c r="F145" s="28">
        <f>SUM(F125:F144)</f>
        <v>-60280.575410322046</v>
      </c>
      <c r="G145" s="26" t="s">
        <v>302</v>
      </c>
      <c r="H145" s="27">
        <f>IF(COUNT(H125:H144), SUM(H125:H144) / COUNT(H125:H144), 0)</f>
        <v>-1.7440455280766792E-2</v>
      </c>
      <c r="I145" s="28">
        <f>SUM(I125:I144)</f>
        <v>-49705.297550185358</v>
      </c>
      <c r="J145" s="26" t="s">
        <v>302</v>
      </c>
      <c r="K145" s="27">
        <f>IF(COUNT(K125:K144), SUM(K125:K144) / COUNT(K125:K144), 0)</f>
        <v>-1.6166954125806803E-2</v>
      </c>
      <c r="L145" s="28">
        <f>SUM(L125:L144)</f>
        <v>-46075.819258549382</v>
      </c>
      <c r="M145" s="26" t="s">
        <v>302</v>
      </c>
      <c r="N145" s="27">
        <f>IF(COUNT(N125:N144), SUM(N125:N144) / COUNT(N125:N144), 0)</f>
        <v>-1.9152051872762893E-2</v>
      </c>
      <c r="O145" s="28">
        <f>SUM(O125:O144)</f>
        <v>-54583.347837374262</v>
      </c>
      <c r="Q145" s="303"/>
      <c r="R145" s="304"/>
      <c r="S145" s="305"/>
    </row>
    <row r="147" spans="1:19" ht="17.25" thickBot="1"/>
    <row r="148" spans="1:19" ht="17.25" thickBot="1">
      <c r="A148" s="249" t="s">
        <v>289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1"/>
      <c r="Q148" s="270"/>
      <c r="R148" s="270"/>
      <c r="S148" s="270"/>
    </row>
    <row r="149" spans="1:19" ht="17.25" thickBot="1">
      <c r="A149" s="167" t="s">
        <v>298</v>
      </c>
      <c r="B149" s="249" t="s">
        <v>49</v>
      </c>
      <c r="C149" s="251"/>
      <c r="D149" s="249" t="s">
        <v>58</v>
      </c>
      <c r="E149" s="250"/>
      <c r="F149" s="251"/>
      <c r="G149" s="276">
        <f>_xlfn.IFNA(VLOOKUP(B149, 현재가테이블!$B$2:$D$200, 2, FALSE), "-")</f>
        <v>60874000</v>
      </c>
      <c r="H149" s="277"/>
      <c r="I149" s="278"/>
      <c r="J149" s="249" t="s">
        <v>59</v>
      </c>
      <c r="K149" s="250"/>
      <c r="L149" s="251"/>
      <c r="M149" s="279">
        <f>_xlfn.IFNA(VLOOKUP(B149, 현재가테이블!$B$2:$D$200, 3, FALSE), "-")</f>
        <v>-1.4936000099999999E-2</v>
      </c>
      <c r="N149" s="280"/>
      <c r="O149" s="281"/>
      <c r="Q149" s="270"/>
      <c r="R149" s="270"/>
      <c r="S149" s="270"/>
    </row>
    <row r="150" spans="1:19" ht="17.25" thickBot="1">
      <c r="A150" s="310" t="s">
        <v>55</v>
      </c>
      <c r="B150" s="312" t="str">
        <f>TEXT($G$1, "[$-ko-KR]yyyy-mm-dd(ddd) ") &amp; "오전 00:00"</f>
        <v>2021-05-08(토) 오전 00:00</v>
      </c>
      <c r="C150" s="313"/>
      <c r="D150" s="272" t="str">
        <f>TEXT($G$1, "[$-ko-KR]yyyy-mm-dd(ddd) ") &amp; "오후 14:00"</f>
        <v>2021-05-08(토) 오후 14:00</v>
      </c>
      <c r="E150" s="273"/>
      <c r="F150" s="274"/>
      <c r="G150" s="272" t="str">
        <f>TEXT($G$1, "[$-ko-KR]yyyy-mm-dd(ddd) ") &amp; "오후 19:00"</f>
        <v>2021-05-08(토) 오후 19:00</v>
      </c>
      <c r="H150" s="273"/>
      <c r="I150" s="274"/>
      <c r="J150" s="272" t="str">
        <f>TEXT($G$1, "[$-ko-KR]yyyy-mm-dd(ddd) ") &amp; "오후 21:00"</f>
        <v>2021-05-08(토) 오후 21:00</v>
      </c>
      <c r="K150" s="273"/>
      <c r="L150" s="274"/>
      <c r="M150" s="272" t="str">
        <f>TEXT($G$1+1, "[$-ko-KR]yyyy-mm-dd(ddd) ") &amp; "오전 00:00"</f>
        <v>2021-05-09(일) 오전 00:00</v>
      </c>
      <c r="N150" s="273"/>
      <c r="O150" s="274"/>
      <c r="Q150" s="270"/>
      <c r="R150" s="270"/>
      <c r="S150" s="270"/>
    </row>
    <row r="151" spans="1:19" ht="17.25" thickBot="1">
      <c r="A151" s="311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8" t="s">
        <v>58</v>
      </c>
      <c r="H151" s="169" t="s">
        <v>299</v>
      </c>
      <c r="I151" s="17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75"/>
      <c r="R151" s="275"/>
      <c r="S151" s="275"/>
    </row>
    <row r="152" spans="1:19" ht="17.25" thickBot="1">
      <c r="A152" s="122" t="s">
        <v>240</v>
      </c>
      <c r="B152" s="123">
        <v>181</v>
      </c>
      <c r="C152" s="72">
        <v>0</v>
      </c>
      <c r="D152" s="13">
        <v>179</v>
      </c>
      <c r="E152" s="14">
        <f>IF(ISNUMBER(D152), (D152 - $B152) / $B152, "")</f>
        <v>-1.1049723756906077E-2</v>
      </c>
      <c r="F152" s="16">
        <f>IF(ISNUMBER(D152), $B172 * E152, "")</f>
        <v>-1657.4585635359115</v>
      </c>
      <c r="G152" s="29">
        <v>180</v>
      </c>
      <c r="H152" s="14">
        <f>IF(ISNUMBER(G152), (G152 - $B152) / $B152, "")</f>
        <v>-5.5248618784530384E-3</v>
      </c>
      <c r="I152" s="96">
        <f>IF(ISNUMBER(G152), $B172 * H152, "")</f>
        <v>-828.72928176795574</v>
      </c>
      <c r="J152" s="13">
        <v>180</v>
      </c>
      <c r="K152" s="14">
        <f>IF(ISNUMBER(J152), (J152 - $B152) / $B152, "")</f>
        <v>-5.5248618784530384E-3</v>
      </c>
      <c r="L152" s="16">
        <f>IF(ISNUMBER(J152), $B172 * K152, "")</f>
        <v>-828.72928176795574</v>
      </c>
      <c r="M152" s="29">
        <v>179</v>
      </c>
      <c r="N152" s="14">
        <f>IF(ISNUMBER(M152), (M152 - $B152) / $B152, "")</f>
        <v>-1.1049723756906077E-2</v>
      </c>
      <c r="O152" s="16">
        <f>IF(ISNUMBER(M152), $B172 * N152, "")</f>
        <v>-1657.4585635359115</v>
      </c>
      <c r="Q152" s="270"/>
      <c r="R152" s="270"/>
      <c r="S152" s="270"/>
    </row>
    <row r="153" spans="1:19" ht="17.25" thickBot="1">
      <c r="A153" s="124" t="s">
        <v>260</v>
      </c>
      <c r="B153" s="125">
        <v>120</v>
      </c>
      <c r="C153" s="73">
        <v>0</v>
      </c>
      <c r="D153" s="15">
        <v>120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120</v>
      </c>
      <c r="H153" s="32">
        <f t="shared" ref="H153:H156" si="79">IF(ISNUMBER(G153), (G153 - $B153) / $B153, "")</f>
        <v>0</v>
      </c>
      <c r="I153" s="97">
        <f>IF(ISNUMBER(G153), $B172 * H153, "")</f>
        <v>0</v>
      </c>
      <c r="J153" s="15">
        <v>120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121</v>
      </c>
      <c r="N153" s="32">
        <f t="shared" ref="N153:N156" si="81">IF(ISNUMBER(M153), (M153 - $B153) / $B153, "")</f>
        <v>8.3333333333333332E-3</v>
      </c>
      <c r="O153" s="18">
        <f>IF(ISNUMBER(M153), $B172 * N153, "")</f>
        <v>1250</v>
      </c>
      <c r="Q153" s="270"/>
      <c r="R153" s="270"/>
      <c r="S153" s="270"/>
    </row>
    <row r="154" spans="1:19" ht="17.25" thickBot="1">
      <c r="A154" s="124" t="s">
        <v>88</v>
      </c>
      <c r="B154" s="125">
        <v>614</v>
      </c>
      <c r="C154" s="73">
        <v>-1.6260163E-3</v>
      </c>
      <c r="D154" s="15">
        <v>604</v>
      </c>
      <c r="E154" s="32">
        <f t="shared" si="78"/>
        <v>-1.6286644951140065E-2</v>
      </c>
      <c r="F154" s="18">
        <f>IF(ISNUMBER(D154), $B172 * E154, "")</f>
        <v>-2442.99674267101</v>
      </c>
      <c r="G154" s="31">
        <v>609</v>
      </c>
      <c r="H154" s="32">
        <f t="shared" si="79"/>
        <v>-8.1433224755700327E-3</v>
      </c>
      <c r="I154" s="97">
        <f>IF(ISNUMBER(G154), $B172 * H154, "")</f>
        <v>-1221.498371335505</v>
      </c>
      <c r="J154" s="15">
        <v>610</v>
      </c>
      <c r="K154" s="32">
        <f t="shared" si="80"/>
        <v>-6.5146579804560263E-3</v>
      </c>
      <c r="L154" s="18">
        <f>IF(ISNUMBER(J154), $B172 * K154, "")</f>
        <v>-977.19869706840393</v>
      </c>
      <c r="M154" s="31">
        <v>603</v>
      </c>
      <c r="N154" s="32">
        <f t="shared" si="81"/>
        <v>-1.7915309446254073E-2</v>
      </c>
      <c r="O154" s="18">
        <f>IF(ISNUMBER(M154), $B172 * N154, "")</f>
        <v>-2687.2964169381107</v>
      </c>
      <c r="Q154" s="275"/>
      <c r="R154" s="275"/>
      <c r="S154" s="275"/>
    </row>
    <row r="155" spans="1:19" ht="17.25" thickBot="1">
      <c r="A155" s="124" t="s">
        <v>226</v>
      </c>
      <c r="B155" s="125">
        <v>493</v>
      </c>
      <c r="C155" s="73">
        <v>-2.0242914999999998E-3</v>
      </c>
      <c r="D155" s="15">
        <v>495</v>
      </c>
      <c r="E155" s="32">
        <f t="shared" si="78"/>
        <v>4.0567951318458417E-3</v>
      </c>
      <c r="F155" s="18">
        <f>IF(ISNUMBER(D155), $B172 * E155, "")</f>
        <v>608.51926977687629</v>
      </c>
      <c r="G155" s="31">
        <v>498</v>
      </c>
      <c r="H155" s="32">
        <f t="shared" si="79"/>
        <v>1.0141987829614604E-2</v>
      </c>
      <c r="I155" s="97">
        <f>IF(ISNUMBER(G155), $B172 * H155, "")</f>
        <v>1521.2981744421907</v>
      </c>
      <c r="J155" s="15">
        <v>500</v>
      </c>
      <c r="K155" s="32">
        <f t="shared" si="80"/>
        <v>1.4198782961460446E-2</v>
      </c>
      <c r="L155" s="18">
        <f>IF(ISNUMBER(J155), $B172 * K155, "")</f>
        <v>2129.8174442190671</v>
      </c>
      <c r="M155" s="31">
        <v>498</v>
      </c>
      <c r="N155" s="32">
        <f t="shared" si="81"/>
        <v>1.0141987829614604E-2</v>
      </c>
      <c r="O155" s="18">
        <f>IF(ISNUMBER(M155), $B172 * N155, "")</f>
        <v>1521.2981744421907</v>
      </c>
      <c r="Q155" s="275"/>
      <c r="R155" s="275"/>
      <c r="S155" s="275"/>
    </row>
    <row r="156" spans="1:19" ht="17.25" thickBot="1">
      <c r="A156" s="126" t="s">
        <v>296</v>
      </c>
      <c r="B156" s="127">
        <v>706</v>
      </c>
      <c r="C156" s="74">
        <v>-2.8248587999999998E-3</v>
      </c>
      <c r="D156" s="20">
        <v>875</v>
      </c>
      <c r="E156" s="21">
        <f t="shared" si="78"/>
        <v>0.23937677053824363</v>
      </c>
      <c r="F156" s="22">
        <f>IF(ISNUMBER(D156), $B172 * E156, "")</f>
        <v>35906.515580736545</v>
      </c>
      <c r="G156" s="30">
        <v>846</v>
      </c>
      <c r="H156" s="21">
        <f t="shared" si="79"/>
        <v>0.19830028328611898</v>
      </c>
      <c r="I156" s="101">
        <f>IF(ISNUMBER(G156), $B172 * H156, "")</f>
        <v>29745.042492917848</v>
      </c>
      <c r="J156" s="20">
        <v>857</v>
      </c>
      <c r="K156" s="21">
        <f t="shared" si="80"/>
        <v>0.21388101983002833</v>
      </c>
      <c r="L156" s="22">
        <f>IF(ISNUMBER(J156), $B172 * K156, "")</f>
        <v>32082.15297450425</v>
      </c>
      <c r="M156" s="30">
        <v>857</v>
      </c>
      <c r="N156" s="21">
        <f t="shared" si="81"/>
        <v>0.21388101983002833</v>
      </c>
      <c r="O156" s="22">
        <f>IF(ISNUMBER(M156), $B172 * N156, "")</f>
        <v>32082.15297450425</v>
      </c>
      <c r="Q156" s="275"/>
      <c r="R156" s="275"/>
      <c r="S156" s="275"/>
    </row>
    <row r="157" spans="1:19" ht="17.25" thickBot="1">
      <c r="A157" s="124" t="s">
        <v>258</v>
      </c>
      <c r="B157" s="128">
        <v>697</v>
      </c>
      <c r="C157" s="76">
        <v>-5.7061341000000003E-3</v>
      </c>
      <c r="D157" s="102">
        <v>695</v>
      </c>
      <c r="E157" s="103">
        <f>IF(ISNUMBER(D157), (D157 - $B157) / $B157, "")</f>
        <v>-2.8694404591104736E-3</v>
      </c>
      <c r="F157" s="104">
        <f>IF(ISNUMBER(D157), $B172 * E157, "")</f>
        <v>-430.41606886657104</v>
      </c>
      <c r="G157" s="105">
        <v>720</v>
      </c>
      <c r="H157" s="103">
        <f>IF(ISNUMBER(G157), (G157 - $B157) / $B157, "")</f>
        <v>3.2998565279770443E-2</v>
      </c>
      <c r="I157" s="106">
        <f>IF(ISNUMBER(G157), $B172 * H157, "")</f>
        <v>4949.7847919655669</v>
      </c>
      <c r="J157" s="102">
        <v>716</v>
      </c>
      <c r="K157" s="103">
        <f>IF(ISNUMBER(J157), (J157 - $B157) / $B157, "")</f>
        <v>2.7259684361549498E-2</v>
      </c>
      <c r="L157" s="104">
        <f>IF(ISNUMBER(J157), $B172 * K157, "")</f>
        <v>4088.9526542324247</v>
      </c>
      <c r="M157" s="105">
        <v>722</v>
      </c>
      <c r="N157" s="103">
        <f>IF(ISNUMBER(M157), (M157 - $B157) / $B157, "")</f>
        <v>3.5868005738880916E-2</v>
      </c>
      <c r="O157" s="104">
        <f>IF(ISNUMBER(M157), $B172 * N157, "")</f>
        <v>5380.2008608321376</v>
      </c>
      <c r="Q157" s="275"/>
      <c r="R157" s="275"/>
      <c r="S157" s="275"/>
    </row>
    <row r="158" spans="1:19" ht="17.25" thickBot="1">
      <c r="A158" s="124" t="s">
        <v>208</v>
      </c>
      <c r="B158" s="125">
        <v>481</v>
      </c>
      <c r="C158" s="73">
        <v>-6.1983471000000004E-3</v>
      </c>
      <c r="D158" s="15">
        <v>475</v>
      </c>
      <c r="E158" s="32">
        <f t="shared" ref="E158:E161" si="82">IF(ISNUMBER(D158), (D158 - $B158) / $B158, "")</f>
        <v>-1.2474012474012475E-2</v>
      </c>
      <c r="F158" s="18">
        <f>IF(ISNUMBER(D158), $B172 * E158, "")</f>
        <v>-1871.1018711018712</v>
      </c>
      <c r="G158" s="31">
        <v>478</v>
      </c>
      <c r="H158" s="32">
        <f t="shared" ref="H158:H161" si="83">IF(ISNUMBER(G158), (G158 - $B158) / $B158, "")</f>
        <v>-6.2370062370062374E-3</v>
      </c>
      <c r="I158" s="97">
        <f>IF(ISNUMBER(G158), $B172 * H158, "")</f>
        <v>-935.55093555093561</v>
      </c>
      <c r="J158" s="15">
        <v>481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485</v>
      </c>
      <c r="N158" s="32">
        <f t="shared" ref="N158:N161" si="85">IF(ISNUMBER(M158), (M158 - $B158) / $B158, "")</f>
        <v>8.3160083160083165E-3</v>
      </c>
      <c r="O158" s="18">
        <f>IF(ISNUMBER(M158), $B172 * N158, "")</f>
        <v>1247.4012474012475</v>
      </c>
      <c r="Q158" s="275"/>
      <c r="R158" s="275"/>
      <c r="S158" s="275"/>
    </row>
    <row r="159" spans="1:19" ht="17.25" thickBot="1">
      <c r="A159" s="124" t="s">
        <v>168</v>
      </c>
      <c r="B159" s="125">
        <v>261</v>
      </c>
      <c r="C159" s="73">
        <v>-7.6045627000000003E-3</v>
      </c>
      <c r="D159" s="15">
        <v>240</v>
      </c>
      <c r="E159" s="32">
        <f t="shared" si="82"/>
        <v>-8.0459770114942528E-2</v>
      </c>
      <c r="F159" s="18">
        <f>IF(ISNUMBER(D159), $B172 * E159, "")</f>
        <v>-12068.965517241379</v>
      </c>
      <c r="G159" s="31">
        <v>244</v>
      </c>
      <c r="H159" s="32">
        <f t="shared" si="83"/>
        <v>-6.5134099616858232E-2</v>
      </c>
      <c r="I159" s="97">
        <f>IF(ISNUMBER(G159), $B172 * H159, "")</f>
        <v>-9770.1149425287349</v>
      </c>
      <c r="J159" s="15">
        <v>246</v>
      </c>
      <c r="K159" s="32">
        <f t="shared" si="84"/>
        <v>-5.7471264367816091E-2</v>
      </c>
      <c r="L159" s="18">
        <f>IF(ISNUMBER(J159), $B172 * K159, "")</f>
        <v>-8620.689655172413</v>
      </c>
      <c r="M159" s="31">
        <v>243</v>
      </c>
      <c r="N159" s="32">
        <f t="shared" si="85"/>
        <v>-6.8965517241379309E-2</v>
      </c>
      <c r="O159" s="18">
        <f>IF(ISNUMBER(M159), $B172 * N159, "")</f>
        <v>-10344.827586206897</v>
      </c>
      <c r="Q159" s="275"/>
      <c r="R159" s="275"/>
      <c r="S159" s="275"/>
    </row>
    <row r="160" spans="1:19" ht="17.25" thickBot="1">
      <c r="A160" s="124" t="s">
        <v>200</v>
      </c>
      <c r="B160" s="125">
        <v>365</v>
      </c>
      <c r="C160" s="73">
        <v>-8.1521739000000003E-3</v>
      </c>
      <c r="D160" s="15">
        <v>357</v>
      </c>
      <c r="E160" s="32">
        <f t="shared" si="82"/>
        <v>-2.1917808219178082E-2</v>
      </c>
      <c r="F160" s="18">
        <f>IF(ISNUMBER(D160), $B172 * E160, "")</f>
        <v>-3287.6712328767126</v>
      </c>
      <c r="G160" s="31">
        <v>361</v>
      </c>
      <c r="H160" s="32">
        <f t="shared" si="83"/>
        <v>-1.0958904109589041E-2</v>
      </c>
      <c r="I160" s="97">
        <f>IF(ISNUMBER(G160), $B172 * H160, "")</f>
        <v>-1643.8356164383563</v>
      </c>
      <c r="J160" s="15">
        <v>361</v>
      </c>
      <c r="K160" s="32">
        <f t="shared" si="84"/>
        <v>-1.0958904109589041E-2</v>
      </c>
      <c r="L160" s="18">
        <f>IF(ISNUMBER(J160), $B172 * K160, "")</f>
        <v>-1643.8356164383563</v>
      </c>
      <c r="M160" s="31">
        <v>360</v>
      </c>
      <c r="N160" s="32">
        <f t="shared" si="85"/>
        <v>-1.3698630136986301E-2</v>
      </c>
      <c r="O160" s="18">
        <f>IF(ISNUMBER(M160), $B172 * N160, "")</f>
        <v>-2054.794520547945</v>
      </c>
      <c r="Q160" s="33"/>
      <c r="R160" s="33"/>
    </row>
    <row r="161" spans="1:19" ht="17.25" thickBot="1">
      <c r="A161" s="129" t="s">
        <v>136</v>
      </c>
      <c r="B161" s="130">
        <v>282</v>
      </c>
      <c r="C161" s="75">
        <v>-1.05263158E-2</v>
      </c>
      <c r="D161" s="24">
        <v>275</v>
      </c>
      <c r="E161" s="25">
        <f t="shared" si="82"/>
        <v>-2.4822695035460994E-2</v>
      </c>
      <c r="F161" s="100">
        <f>IF(ISNUMBER(D161), $B172 * E161, "")</f>
        <v>-3723.4042553191489</v>
      </c>
      <c r="G161" s="98">
        <v>271</v>
      </c>
      <c r="H161" s="25">
        <f t="shared" si="83"/>
        <v>-3.9007092198581561E-2</v>
      </c>
      <c r="I161" s="99">
        <f>IF(ISNUMBER(G161), $B172 * H161, "")</f>
        <v>-5851.0638297872338</v>
      </c>
      <c r="J161" s="24">
        <v>271</v>
      </c>
      <c r="K161" s="25">
        <f t="shared" si="84"/>
        <v>-3.9007092198581561E-2</v>
      </c>
      <c r="L161" s="100">
        <f>IF(ISNUMBER(J161), $B172 * K161, "")</f>
        <v>-5851.0638297872338</v>
      </c>
      <c r="M161" s="98">
        <v>282</v>
      </c>
      <c r="N161" s="25">
        <f t="shared" si="85"/>
        <v>0</v>
      </c>
      <c r="O161" s="100">
        <f>IF(ISNUMBER(M161), $B172 * N161, "")</f>
        <v>0</v>
      </c>
      <c r="Q161" s="284"/>
      <c r="R161" s="285"/>
      <c r="S161" s="286"/>
    </row>
    <row r="162" spans="1:19">
      <c r="A162" s="122" t="s">
        <v>210</v>
      </c>
      <c r="B162" s="123">
        <v>187</v>
      </c>
      <c r="C162" s="72">
        <v>-1.05820106E-2</v>
      </c>
      <c r="D162" s="13">
        <v>188</v>
      </c>
      <c r="E162" s="14">
        <f>IF(ISNUMBER(D162), (D162 - $B162) / $B162, "")</f>
        <v>5.3475935828877002E-3</v>
      </c>
      <c r="F162" s="16">
        <f>IF(ISNUMBER(D162), $B172 * E162, "")</f>
        <v>802.13903743315507</v>
      </c>
      <c r="G162" s="29">
        <v>188</v>
      </c>
      <c r="H162" s="14">
        <f>IF(ISNUMBER(G162), (G162 - $B162) / $B162, "")</f>
        <v>5.3475935828877002E-3</v>
      </c>
      <c r="I162" s="96">
        <f>IF(ISNUMBER(G162), $B172 * H162, "")</f>
        <v>802.13903743315507</v>
      </c>
      <c r="J162" s="13">
        <v>188</v>
      </c>
      <c r="K162" s="14">
        <f>IF(ISNUMBER(J162), (J162 - $B162) / $B162, "")</f>
        <v>5.3475935828877002E-3</v>
      </c>
      <c r="L162" s="16">
        <f>IF(ISNUMBER(J162), $B172 * K162, "")</f>
        <v>802.13903743315507</v>
      </c>
      <c r="M162" s="29">
        <v>189</v>
      </c>
      <c r="N162" s="14">
        <f>IF(ISNUMBER(M162), (M162 - $B162) / $B162, "")</f>
        <v>1.06951871657754E-2</v>
      </c>
      <c r="O162" s="16">
        <f>IF(ISNUMBER(M162), $B172 * N162, "")</f>
        <v>1604.2780748663101</v>
      </c>
      <c r="Q162" s="287"/>
      <c r="R162" s="288"/>
      <c r="S162" s="289"/>
    </row>
    <row r="163" spans="1:19" ht="17.25" thickBot="1">
      <c r="A163" s="124" t="s">
        <v>54</v>
      </c>
      <c r="B163" s="125">
        <v>372</v>
      </c>
      <c r="C163" s="73">
        <v>-1.32625995E-2</v>
      </c>
      <c r="D163" s="15">
        <v>358</v>
      </c>
      <c r="E163" s="32">
        <f t="shared" ref="E163:E166" si="86">IF(ISNUMBER(D163), (D163 - $B163) / $B163, "")</f>
        <v>-3.7634408602150539E-2</v>
      </c>
      <c r="F163" s="18">
        <f>IF(ISNUMBER(D163), $B172 * E163, "")</f>
        <v>-5645.1612903225805</v>
      </c>
      <c r="G163" s="31">
        <v>359</v>
      </c>
      <c r="H163" s="32">
        <f t="shared" ref="H163:H166" si="87">IF(ISNUMBER(G163), (G163 - $B163) / $B163, "")</f>
        <v>-3.4946236559139782E-2</v>
      </c>
      <c r="I163" s="97">
        <f>IF(ISNUMBER(G163), $B172 * H163, "")</f>
        <v>-5241.9354838709669</v>
      </c>
      <c r="J163" s="15">
        <v>358</v>
      </c>
      <c r="K163" s="32">
        <f t="shared" ref="K163:K166" si="88">IF(ISNUMBER(J163), (J163 - $B163) / $B163, "")</f>
        <v>-3.7634408602150539E-2</v>
      </c>
      <c r="L163" s="18">
        <f>IF(ISNUMBER(J163), $B172 * K163, "")</f>
        <v>-5645.1612903225805</v>
      </c>
      <c r="M163" s="31">
        <v>356</v>
      </c>
      <c r="N163" s="32">
        <f t="shared" ref="N163:N166" si="89">IF(ISNUMBER(M163), (M163 - $B163) / $B163, "")</f>
        <v>-4.3010752688172046E-2</v>
      </c>
      <c r="O163" s="18">
        <f>IF(ISNUMBER(M163), $B172 * N163, "")</f>
        <v>-6451.6129032258068</v>
      </c>
      <c r="Q163" s="290"/>
      <c r="R163" s="291"/>
      <c r="S163" s="292"/>
    </row>
    <row r="164" spans="1:19" ht="17.25" thickBot="1">
      <c r="A164" s="124" t="s">
        <v>250</v>
      </c>
      <c r="B164" s="125">
        <v>211</v>
      </c>
      <c r="C164" s="73">
        <v>-1.4018691600000001E-2</v>
      </c>
      <c r="D164" s="15">
        <v>211</v>
      </c>
      <c r="E164" s="32">
        <f t="shared" si="86"/>
        <v>0</v>
      </c>
      <c r="F164" s="18">
        <f>IF(ISNUMBER(D164), $B172 * E164, "")</f>
        <v>0</v>
      </c>
      <c r="G164" s="31">
        <v>212</v>
      </c>
      <c r="H164" s="32">
        <f t="shared" si="87"/>
        <v>4.7393364928909956E-3</v>
      </c>
      <c r="I164" s="97">
        <f>IF(ISNUMBER(G164), $B172 * H164, "")</f>
        <v>710.90047393364932</v>
      </c>
      <c r="J164" s="15">
        <v>212</v>
      </c>
      <c r="K164" s="32">
        <f t="shared" si="88"/>
        <v>4.7393364928909956E-3</v>
      </c>
      <c r="L164" s="18">
        <f>IF(ISNUMBER(J164), $B172 * K164, "")</f>
        <v>710.90047393364932</v>
      </c>
      <c r="M164" s="31">
        <v>211</v>
      </c>
      <c r="N164" s="32">
        <f t="shared" si="89"/>
        <v>0</v>
      </c>
      <c r="O164" s="18">
        <f>IF(ISNUMBER(M164), $B172 * N164, "")</f>
        <v>0</v>
      </c>
      <c r="Q164" s="275"/>
      <c r="R164" s="275"/>
      <c r="S164" s="275"/>
    </row>
    <row r="165" spans="1:19" ht="17.25" thickBot="1">
      <c r="A165" s="124" t="s">
        <v>51</v>
      </c>
      <c r="B165" s="125">
        <v>782</v>
      </c>
      <c r="C165" s="73">
        <v>-1.6352201300000001E-2</v>
      </c>
      <c r="D165" s="15">
        <v>749</v>
      </c>
      <c r="E165" s="32">
        <f t="shared" si="86"/>
        <v>-4.2199488491048591E-2</v>
      </c>
      <c r="F165" s="18">
        <f>IF(ISNUMBER(D165), $B172 * E165, "")</f>
        <v>-6329.9232736572885</v>
      </c>
      <c r="G165" s="31">
        <v>752</v>
      </c>
      <c r="H165" s="32">
        <f t="shared" si="87"/>
        <v>-3.8363171355498722E-2</v>
      </c>
      <c r="I165" s="97">
        <f>IF(ISNUMBER(G165), $B172 * H165, "")</f>
        <v>-5754.4757033248079</v>
      </c>
      <c r="J165" s="15">
        <v>750</v>
      </c>
      <c r="K165" s="32">
        <f t="shared" si="88"/>
        <v>-4.0920716112531973E-2</v>
      </c>
      <c r="L165" s="18">
        <f>IF(ISNUMBER(J165), $B172 * K165, "")</f>
        <v>-6138.1074168797959</v>
      </c>
      <c r="M165" s="31">
        <v>750</v>
      </c>
      <c r="N165" s="32">
        <f t="shared" si="89"/>
        <v>-4.0920716112531973E-2</v>
      </c>
      <c r="O165" s="18">
        <f>IF(ISNUMBER(M165), $B172 * N165, "")</f>
        <v>-6138.1074168797959</v>
      </c>
      <c r="Q165" s="270"/>
      <c r="R165" s="270"/>
      <c r="S165" s="270"/>
    </row>
    <row r="166" spans="1:19" ht="17.25" thickBot="1">
      <c r="A166" s="126" t="s">
        <v>256</v>
      </c>
      <c r="B166" s="127">
        <v>258</v>
      </c>
      <c r="C166" s="74">
        <v>-1.9011406799999998E-2</v>
      </c>
      <c r="D166" s="20">
        <v>253</v>
      </c>
      <c r="E166" s="21">
        <f t="shared" si="86"/>
        <v>-1.937984496124031E-2</v>
      </c>
      <c r="F166" s="22">
        <f>IF(ISNUMBER(D166), $B172 * E166, "")</f>
        <v>-2906.9767441860463</v>
      </c>
      <c r="G166" s="30">
        <v>256</v>
      </c>
      <c r="H166" s="21">
        <f t="shared" si="87"/>
        <v>-7.7519379844961239E-3</v>
      </c>
      <c r="I166" s="101">
        <f>IF(ISNUMBER(G166), $B172 * H166, "")</f>
        <v>-1162.7906976744187</v>
      </c>
      <c r="J166" s="20">
        <v>256</v>
      </c>
      <c r="K166" s="21">
        <f t="shared" si="88"/>
        <v>-7.7519379844961239E-3</v>
      </c>
      <c r="L166" s="22">
        <f>IF(ISNUMBER(J166), $B172 * K166, "")</f>
        <v>-1162.7906976744187</v>
      </c>
      <c r="M166" s="30">
        <v>256</v>
      </c>
      <c r="N166" s="21">
        <f t="shared" si="89"/>
        <v>-7.7519379844961239E-3</v>
      </c>
      <c r="O166" s="22">
        <f>IF(ISNUMBER(M166), $B172 * N166, "")</f>
        <v>-1162.7906976744187</v>
      </c>
      <c r="Q166" s="270"/>
      <c r="R166" s="270"/>
      <c r="S166" s="270"/>
    </row>
    <row r="167" spans="1:19" ht="17.25" thickBot="1">
      <c r="A167" s="124" t="s">
        <v>202</v>
      </c>
      <c r="B167" s="128">
        <v>206</v>
      </c>
      <c r="C167" s="76">
        <v>-1.9047618999999998E-2</v>
      </c>
      <c r="D167" s="102">
        <v>203</v>
      </c>
      <c r="E167" s="103">
        <f>IF(ISNUMBER(D167), (D167 - $B167) / $B167, "")</f>
        <v>-1.4563106796116505E-2</v>
      </c>
      <c r="F167" s="104">
        <f>IF(ISNUMBER(D167), $B172 * E167, "")</f>
        <v>-2184.4660194174758</v>
      </c>
      <c r="G167" s="105">
        <v>207</v>
      </c>
      <c r="H167" s="103">
        <f>IF(ISNUMBER(G167), (G167 - $B167) / $B167, "")</f>
        <v>4.8543689320388345E-3</v>
      </c>
      <c r="I167" s="106">
        <f>IF(ISNUMBER(G167), $B172 * H167, "")</f>
        <v>728.15533980582518</v>
      </c>
      <c r="J167" s="102">
        <v>206</v>
      </c>
      <c r="K167" s="103">
        <f>IF(ISNUMBER(J167), (J167 - $B167) / $B167, "")</f>
        <v>0</v>
      </c>
      <c r="L167" s="104">
        <f>IF(ISNUMBER(J167), $B172 * K167, "")</f>
        <v>0</v>
      </c>
      <c r="M167" s="105">
        <v>206</v>
      </c>
      <c r="N167" s="103">
        <f>IF(ISNUMBER(M167), (M167 - $B167) / $B167, "")</f>
        <v>0</v>
      </c>
      <c r="O167" s="104">
        <f>IF(ISNUMBER(M167), $B172 * N167, "")</f>
        <v>0</v>
      </c>
      <c r="Q167" s="275"/>
      <c r="R167" s="275"/>
      <c r="S167" s="275"/>
    </row>
    <row r="168" spans="1:19" ht="17.25" thickBot="1">
      <c r="A168" s="124" t="s">
        <v>230</v>
      </c>
      <c r="B168" s="125">
        <v>168</v>
      </c>
      <c r="C168" s="73">
        <v>-2.3255814E-2</v>
      </c>
      <c r="D168" s="15">
        <v>170</v>
      </c>
      <c r="E168" s="32">
        <f t="shared" ref="E168:E171" si="90">IF(ISNUMBER(D168), (D168 - $B168) / $B168, "")</f>
        <v>1.1904761904761904E-2</v>
      </c>
      <c r="F168" s="18">
        <f>IF(ISNUMBER(D168), $B172 * E168, "")</f>
        <v>1785.7142857142856</v>
      </c>
      <c r="G168" s="31">
        <v>171</v>
      </c>
      <c r="H168" s="32">
        <f t="shared" ref="H168:H171" si="91">IF(ISNUMBER(G168), (G168 - $B168) / $B168, "")</f>
        <v>1.7857142857142856E-2</v>
      </c>
      <c r="I168" s="97">
        <f>IF(ISNUMBER(G168), $B172 * H168, "")</f>
        <v>2678.5714285714284</v>
      </c>
      <c r="J168" s="15">
        <v>171</v>
      </c>
      <c r="K168" s="32">
        <f t="shared" ref="K168:K171" si="92">IF(ISNUMBER(J168), (J168 - $B168) / $B168, "")</f>
        <v>1.7857142857142856E-2</v>
      </c>
      <c r="L168" s="18">
        <f>IF(ISNUMBER(J168), $B172 * K168, "")</f>
        <v>2678.5714285714284</v>
      </c>
      <c r="M168" s="31">
        <v>170</v>
      </c>
      <c r="N168" s="32">
        <f t="shared" ref="N168:N171" si="93">IF(ISNUMBER(M168), (M168 - $B168) / $B168, "")</f>
        <v>1.1904761904761904E-2</v>
      </c>
      <c r="O168" s="18">
        <f>IF(ISNUMBER(M168), $B172 * N168, "")</f>
        <v>1785.7142857142856</v>
      </c>
      <c r="Q168" s="275"/>
      <c r="R168" s="275"/>
      <c r="S168" s="275"/>
    </row>
    <row r="169" spans="1:19" ht="17.25" thickBot="1">
      <c r="A169" s="124" t="s">
        <v>120</v>
      </c>
      <c r="B169" s="125">
        <v>227</v>
      </c>
      <c r="C169" s="73">
        <v>-2.5751072999999999E-2</v>
      </c>
      <c r="D169" s="15">
        <v>229</v>
      </c>
      <c r="E169" s="32">
        <f t="shared" si="90"/>
        <v>8.8105726872246704E-3</v>
      </c>
      <c r="F169" s="18">
        <f>IF(ISNUMBER(D169), $B172 * E169, "")</f>
        <v>1321.5859030837005</v>
      </c>
      <c r="G169" s="31">
        <v>230</v>
      </c>
      <c r="H169" s="32">
        <f t="shared" si="91"/>
        <v>1.3215859030837005E-2</v>
      </c>
      <c r="I169" s="97">
        <f>IF(ISNUMBER(G169), $B172 * H169, "")</f>
        <v>1982.3788546255507</v>
      </c>
      <c r="J169" s="15">
        <v>230</v>
      </c>
      <c r="K169" s="32">
        <f t="shared" si="92"/>
        <v>1.3215859030837005E-2</v>
      </c>
      <c r="L169" s="18">
        <f>IF(ISNUMBER(J169), $B172 * K169, "")</f>
        <v>1982.3788546255507</v>
      </c>
      <c r="M169" s="31">
        <v>228</v>
      </c>
      <c r="N169" s="32">
        <f t="shared" si="93"/>
        <v>4.4052863436123352E-3</v>
      </c>
      <c r="O169" s="18">
        <f>IF(ISNUMBER(M169), $B172 * N169, "")</f>
        <v>660.79295154185024</v>
      </c>
      <c r="Q169" s="275"/>
      <c r="R169" s="275"/>
      <c r="S169" s="275"/>
    </row>
    <row r="170" spans="1:19">
      <c r="A170" s="124" t="s">
        <v>212</v>
      </c>
      <c r="B170" s="125">
        <v>148</v>
      </c>
      <c r="C170" s="73">
        <v>-2.6315789499999999E-2</v>
      </c>
      <c r="D170" s="15">
        <v>150</v>
      </c>
      <c r="E170" s="32">
        <f t="shared" si="90"/>
        <v>1.3513513513513514E-2</v>
      </c>
      <c r="F170" s="18">
        <f>IF(ISNUMBER(D170), $B172 * E170, "")</f>
        <v>2027.0270270270271</v>
      </c>
      <c r="G170" s="31">
        <v>149</v>
      </c>
      <c r="H170" s="32">
        <f t="shared" si="91"/>
        <v>6.7567567567567571E-3</v>
      </c>
      <c r="I170" s="97">
        <f>IF(ISNUMBER(G170), $B172 * H170, "")</f>
        <v>1013.5135135135135</v>
      </c>
      <c r="J170" s="15">
        <v>150</v>
      </c>
      <c r="K170" s="32">
        <f t="shared" si="92"/>
        <v>1.3513513513513514E-2</v>
      </c>
      <c r="L170" s="18">
        <f>IF(ISNUMBER(J170), $B172 * K170, "")</f>
        <v>2027.0270270270271</v>
      </c>
      <c r="M170" s="31">
        <v>152</v>
      </c>
      <c r="N170" s="32">
        <f t="shared" si="93"/>
        <v>2.7027027027027029E-2</v>
      </c>
      <c r="O170" s="18">
        <f>IF(ISNUMBER(M170), $B172 * N170, "")</f>
        <v>4054.0540540540542</v>
      </c>
      <c r="Q170" s="297"/>
      <c r="R170" s="298"/>
      <c r="S170" s="299"/>
    </row>
    <row r="171" spans="1:19" ht="17.25" thickBot="1">
      <c r="A171" s="129" t="s">
        <v>116</v>
      </c>
      <c r="B171" s="130">
        <v>668</v>
      </c>
      <c r="C171" s="75">
        <v>-2.7656477400000001E-2</v>
      </c>
      <c r="D171" s="24">
        <v>661</v>
      </c>
      <c r="E171" s="25">
        <f t="shared" si="90"/>
        <v>-1.0479041916167664E-2</v>
      </c>
      <c r="F171" s="100">
        <f>IF(ISNUMBER(D171), $B172 * E171, "")</f>
        <v>-1571.8562874251495</v>
      </c>
      <c r="G171" s="98">
        <v>668</v>
      </c>
      <c r="H171" s="25">
        <f t="shared" si="91"/>
        <v>0</v>
      </c>
      <c r="I171" s="99">
        <f>IF(ISNUMBER(G171), $B172 * H171, "")</f>
        <v>0</v>
      </c>
      <c r="J171" s="24">
        <v>665</v>
      </c>
      <c r="K171" s="25">
        <f t="shared" si="92"/>
        <v>-4.4910179640718561E-3</v>
      </c>
      <c r="L171" s="100">
        <f>IF(ISNUMBER(J171), $B172 * K171, "")</f>
        <v>-673.65269461077844</v>
      </c>
      <c r="M171" s="98">
        <v>665</v>
      </c>
      <c r="N171" s="25">
        <f t="shared" si="93"/>
        <v>-4.4910179640718561E-3</v>
      </c>
      <c r="O171" s="100">
        <f>IF(ISNUMBER(M171), $B172 * N171, "")</f>
        <v>-673.65269461077844</v>
      </c>
      <c r="Q171" s="300"/>
      <c r="R171" s="301"/>
      <c r="S171" s="302"/>
    </row>
    <row r="172" spans="1:19" ht="17.25" thickBot="1">
      <c r="A172" s="131" t="s">
        <v>301</v>
      </c>
      <c r="B172" s="308">
        <f>$B$37</f>
        <v>150000</v>
      </c>
      <c r="C172" s="309"/>
      <c r="D172" s="26" t="s">
        <v>302</v>
      </c>
      <c r="E172" s="27">
        <f>IF(COUNT(E152:E171), SUM(E152:E171) / COUNT(E152:E171), 0)</f>
        <v>-5.5629892094985326E-4</v>
      </c>
      <c r="F172" s="28">
        <f>SUM(F152:F171)</f>
        <v>-1668.8967628495541</v>
      </c>
      <c r="G172" s="26" t="s">
        <v>302</v>
      </c>
      <c r="H172" s="27">
        <f>IF(COUNT(H152:H171), SUM(H152:H171) / COUNT(H152:H171), 0)</f>
        <v>3.9072630816432688E-3</v>
      </c>
      <c r="I172" s="28">
        <f>SUM(I152:I171)</f>
        <v>11721.789244929811</v>
      </c>
      <c r="J172" s="26" t="s">
        <v>302</v>
      </c>
      <c r="K172" s="27">
        <f>IF(COUNT(K152:K171), SUM(K152:K171) / COUNT(K152:K171), 0)</f>
        <v>4.9869035716082035E-3</v>
      </c>
      <c r="L172" s="28">
        <f>SUM(L152:L171)</f>
        <v>14960.710714824621</v>
      </c>
      <c r="M172" s="26" t="s">
        <v>302</v>
      </c>
      <c r="N172" s="27">
        <f>IF(COUNT(N152:N171), SUM(N152:N171) / COUNT(N152:N171), 0)</f>
        <v>6.138450607912219E-3</v>
      </c>
      <c r="O172" s="28">
        <f>SUM(O152:O171)</f>
        <v>18415.351823736666</v>
      </c>
      <c r="Q172" s="303"/>
      <c r="R172" s="304"/>
      <c r="S172" s="305"/>
    </row>
    <row r="174" spans="1:19" ht="17.25" thickBot="1"/>
    <row r="175" spans="1:19" ht="17.25" thickBot="1">
      <c r="A175" s="249" t="s">
        <v>285</v>
      </c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50"/>
      <c r="M175" s="250"/>
      <c r="N175" s="250"/>
      <c r="O175" s="251"/>
      <c r="Q175" s="270"/>
      <c r="R175" s="270"/>
      <c r="S175" s="270"/>
    </row>
    <row r="176" spans="1:19" ht="17.25" thickBot="1">
      <c r="A176" s="167" t="s">
        <v>298</v>
      </c>
      <c r="B176" s="249" t="s">
        <v>49</v>
      </c>
      <c r="C176" s="251"/>
      <c r="D176" s="249" t="s">
        <v>58</v>
      </c>
      <c r="E176" s="250"/>
      <c r="F176" s="251"/>
      <c r="G176" s="276">
        <f>_xlfn.IFNA(VLOOKUP(B176, 현재가테이블!$B$2:$D$200, 2, FALSE), "-")</f>
        <v>60874000</v>
      </c>
      <c r="H176" s="277"/>
      <c r="I176" s="278"/>
      <c r="J176" s="249" t="s">
        <v>59</v>
      </c>
      <c r="K176" s="250"/>
      <c r="L176" s="251"/>
      <c r="M176" s="279">
        <f>_xlfn.IFNA(VLOOKUP(B176, 현재가테이블!$B$2:$D$200, 3, FALSE), "-")</f>
        <v>-1.4936000099999999E-2</v>
      </c>
      <c r="N176" s="280"/>
      <c r="O176" s="281"/>
      <c r="Q176" s="270"/>
      <c r="R176" s="270"/>
      <c r="S176" s="270"/>
    </row>
    <row r="177" spans="1:19" ht="17.25" thickBot="1">
      <c r="A177" s="310" t="s">
        <v>55</v>
      </c>
      <c r="B177" s="312" t="str">
        <f>TEXT($G$1, "[$-ko-KR]yyyy-mm-dd(ddd) ") &amp; "오전 00:00"</f>
        <v>2021-05-08(토) 오전 00:00</v>
      </c>
      <c r="C177" s="313"/>
      <c r="D177" s="272" t="str">
        <f>TEXT($G$1, "[$-ko-KR]yyyy-mm-dd(ddd) ") &amp; "오후 14:00"</f>
        <v>2021-05-08(토) 오후 14:00</v>
      </c>
      <c r="E177" s="273"/>
      <c r="F177" s="274"/>
      <c r="G177" s="272" t="str">
        <f>TEXT($G$1, "[$-ko-KR]yyyy-mm-dd(ddd) ") &amp; "오후 19:00"</f>
        <v>2021-05-08(토) 오후 19:00</v>
      </c>
      <c r="H177" s="273"/>
      <c r="I177" s="274"/>
      <c r="J177" s="272" t="str">
        <f>TEXT($G$1, "[$-ko-KR]yyyy-mm-dd(ddd) ") &amp; "오후 21:00"</f>
        <v>2021-05-08(토) 오후 21:00</v>
      </c>
      <c r="K177" s="273"/>
      <c r="L177" s="274"/>
      <c r="M177" s="272" t="str">
        <f>TEXT($G$1+1, "[$-ko-KR]yyyy-mm-dd(ddd) ") &amp; "오전 00:00"</f>
        <v>2021-05-09(일) 오전 00:00</v>
      </c>
      <c r="N177" s="273"/>
      <c r="O177" s="274"/>
      <c r="Q177" s="270"/>
      <c r="R177" s="270"/>
      <c r="S177" s="270"/>
    </row>
    <row r="178" spans="1:19" ht="17.25" thickBot="1">
      <c r="A178" s="311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8" t="s">
        <v>58</v>
      </c>
      <c r="H178" s="169" t="s">
        <v>299</v>
      </c>
      <c r="I178" s="17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75"/>
      <c r="R178" s="275"/>
      <c r="S178" s="275"/>
    </row>
    <row r="179" spans="1:19" ht="17.25" thickBot="1">
      <c r="A179" s="122" t="s">
        <v>69</v>
      </c>
      <c r="B179" s="123">
        <v>12360</v>
      </c>
      <c r="C179" s="72">
        <v>-2.36966825E-2</v>
      </c>
      <c r="D179" s="13">
        <v>12230</v>
      </c>
      <c r="E179" s="14">
        <f>IF(ISNUMBER(D179), (D179 - $B179) / $B179, "")</f>
        <v>-1.0517799352750809E-2</v>
      </c>
      <c r="F179" s="16">
        <f>IF(ISNUMBER(D179), $B199 * E179, "")</f>
        <v>-1577.6699029126214</v>
      </c>
      <c r="G179" s="29">
        <v>12490</v>
      </c>
      <c r="H179" s="14">
        <f>IF(ISNUMBER(G179), (G179 - $B179) / $B179, "")</f>
        <v>1.0517799352750809E-2</v>
      </c>
      <c r="I179" s="96">
        <f>IF(ISNUMBER(G179), $B199 * H179, "")</f>
        <v>1577.6699029126214</v>
      </c>
      <c r="J179" s="13">
        <v>12450</v>
      </c>
      <c r="K179" s="14">
        <f>IF(ISNUMBER(J179), (J179 - $B179) / $B179, "")</f>
        <v>7.2815533980582527E-3</v>
      </c>
      <c r="L179" s="16">
        <f>IF(ISNUMBER(J179), $B199 * K179, "")</f>
        <v>1092.2330097087379</v>
      </c>
      <c r="M179" s="29">
        <v>13000</v>
      </c>
      <c r="N179" s="14">
        <f>IF(ISNUMBER(M179), (M179 - $B179) / $B179, "")</f>
        <v>5.1779935275080909E-2</v>
      </c>
      <c r="O179" s="16">
        <f>IF(ISNUMBER(M179), $B199 * N179, "")</f>
        <v>7766.9902912621365</v>
      </c>
      <c r="Q179" s="270"/>
      <c r="R179" s="270"/>
      <c r="S179" s="270"/>
    </row>
    <row r="180" spans="1:19" ht="17.25" thickBot="1">
      <c r="A180" s="124" t="s">
        <v>150</v>
      </c>
      <c r="B180" s="125">
        <v>5830</v>
      </c>
      <c r="C180" s="73">
        <v>-2.5083612000000002E-2</v>
      </c>
      <c r="D180" s="15">
        <v>5755</v>
      </c>
      <c r="E180" s="32">
        <f t="shared" ref="E180:E183" si="94">IF(ISNUMBER(D180), (D180 - $B180) / $B180, "")</f>
        <v>-1.2864493996569469E-2</v>
      </c>
      <c r="F180" s="18">
        <f>IF(ISNUMBER(D180), $B199 * E180, "")</f>
        <v>-1929.6740994854204</v>
      </c>
      <c r="G180" s="31">
        <v>5970</v>
      </c>
      <c r="H180" s="32">
        <f t="shared" ref="H180:H183" si="95">IF(ISNUMBER(G180), (G180 - $B180) / $B180, "")</f>
        <v>2.4013722126929673E-2</v>
      </c>
      <c r="I180" s="97">
        <f>IF(ISNUMBER(G180), $B199 * H180, "")</f>
        <v>3602.0583190394509</v>
      </c>
      <c r="J180" s="15">
        <v>5945</v>
      </c>
      <c r="K180" s="32">
        <f t="shared" ref="K180:K183" si="96">IF(ISNUMBER(J180), (J180 - $B180) / $B180, "")</f>
        <v>1.9725557461406518E-2</v>
      </c>
      <c r="L180" s="18">
        <f>IF(ISNUMBER(J180), $B199 * K180, "")</f>
        <v>2958.8336192109778</v>
      </c>
      <c r="M180" s="31">
        <v>5990</v>
      </c>
      <c r="N180" s="32">
        <f t="shared" ref="N180:N183" si="97">IF(ISNUMBER(M180), (M180 - $B180) / $B180, "")</f>
        <v>2.7444253859348199E-2</v>
      </c>
      <c r="O180" s="18">
        <f>IF(ISNUMBER(M180), $B199 * N180, "")</f>
        <v>4116.6380789022296</v>
      </c>
      <c r="Q180" s="270"/>
      <c r="R180" s="270"/>
      <c r="S180" s="270"/>
    </row>
    <row r="181" spans="1:19" ht="17.25" thickBot="1">
      <c r="A181" s="124" t="s">
        <v>146</v>
      </c>
      <c r="B181" s="125">
        <v>19920</v>
      </c>
      <c r="C181" s="73">
        <v>-2.54403131E-2</v>
      </c>
      <c r="D181" s="15">
        <v>19050</v>
      </c>
      <c r="E181" s="32">
        <f t="shared" si="94"/>
        <v>-4.3674698795180725E-2</v>
      </c>
      <c r="F181" s="18">
        <f>IF(ISNUMBER(D181), $B199 * E181, "")</f>
        <v>-6551.204819277109</v>
      </c>
      <c r="G181" s="31">
        <v>19130</v>
      </c>
      <c r="H181" s="32">
        <f t="shared" si="95"/>
        <v>-3.9658634538152611E-2</v>
      </c>
      <c r="I181" s="97">
        <f>IF(ISNUMBER(G181), $B199 * H181, "")</f>
        <v>-5948.7951807228919</v>
      </c>
      <c r="J181" s="15">
        <v>19010</v>
      </c>
      <c r="K181" s="32">
        <f t="shared" si="96"/>
        <v>-4.5682730923694778E-2</v>
      </c>
      <c r="L181" s="18">
        <f>IF(ISNUMBER(J181), $B199 * K181, "")</f>
        <v>-6852.4096385542171</v>
      </c>
      <c r="M181" s="31">
        <v>18960</v>
      </c>
      <c r="N181" s="32">
        <f t="shared" si="97"/>
        <v>-4.8192771084337352E-2</v>
      </c>
      <c r="O181" s="18">
        <f>IF(ISNUMBER(M181), $B199 * N181, "")</f>
        <v>-7228.9156626506028</v>
      </c>
      <c r="Q181" s="275"/>
      <c r="R181" s="275"/>
      <c r="S181" s="275"/>
    </row>
    <row r="182" spans="1:19" ht="17.25" thickBot="1">
      <c r="A182" s="124" t="s">
        <v>120</v>
      </c>
      <c r="B182" s="125">
        <v>227</v>
      </c>
      <c r="C182" s="73">
        <v>-2.5751072999999999E-2</v>
      </c>
      <c r="D182" s="15">
        <v>229</v>
      </c>
      <c r="E182" s="32">
        <f t="shared" si="94"/>
        <v>8.8105726872246704E-3</v>
      </c>
      <c r="F182" s="18">
        <f>IF(ISNUMBER(D182), $B199 * E182, "")</f>
        <v>1321.5859030837005</v>
      </c>
      <c r="G182" s="31">
        <v>230</v>
      </c>
      <c r="H182" s="32">
        <f t="shared" si="95"/>
        <v>1.3215859030837005E-2</v>
      </c>
      <c r="I182" s="97">
        <f>IF(ISNUMBER(G182), $B199 * H182, "")</f>
        <v>1982.3788546255507</v>
      </c>
      <c r="J182" s="15">
        <v>230</v>
      </c>
      <c r="K182" s="32">
        <f t="shared" si="96"/>
        <v>1.3215859030837005E-2</v>
      </c>
      <c r="L182" s="18">
        <f>IF(ISNUMBER(J182), $B199 * K182, "")</f>
        <v>1982.3788546255507</v>
      </c>
      <c r="M182" s="31">
        <v>228</v>
      </c>
      <c r="N182" s="32">
        <f t="shared" si="97"/>
        <v>4.4052863436123352E-3</v>
      </c>
      <c r="O182" s="18">
        <f>IF(ISNUMBER(M182), $B199 * N182, "")</f>
        <v>660.79295154185024</v>
      </c>
      <c r="Q182" s="275"/>
      <c r="R182" s="275"/>
      <c r="S182" s="275"/>
    </row>
    <row r="183" spans="1:19" ht="17.25" thickBot="1">
      <c r="A183" s="126" t="s">
        <v>212</v>
      </c>
      <c r="B183" s="127">
        <v>148</v>
      </c>
      <c r="C183" s="74">
        <v>-2.6315789499999999E-2</v>
      </c>
      <c r="D183" s="20">
        <v>150</v>
      </c>
      <c r="E183" s="21">
        <f t="shared" si="94"/>
        <v>1.3513513513513514E-2</v>
      </c>
      <c r="F183" s="22">
        <f>IF(ISNUMBER(D183), $B199 * E183, "")</f>
        <v>2027.0270270270271</v>
      </c>
      <c r="G183" s="30">
        <v>149</v>
      </c>
      <c r="H183" s="21">
        <f t="shared" si="95"/>
        <v>6.7567567567567571E-3</v>
      </c>
      <c r="I183" s="101">
        <f>IF(ISNUMBER(G183), $B199 * H183, "")</f>
        <v>1013.5135135135135</v>
      </c>
      <c r="J183" s="20">
        <v>150</v>
      </c>
      <c r="K183" s="21">
        <f t="shared" si="96"/>
        <v>1.3513513513513514E-2</v>
      </c>
      <c r="L183" s="22">
        <f>IF(ISNUMBER(J183), $B199 * K183, "")</f>
        <v>2027.0270270270271</v>
      </c>
      <c r="M183" s="30">
        <v>152</v>
      </c>
      <c r="N183" s="21">
        <f t="shared" si="97"/>
        <v>2.7027027027027029E-2</v>
      </c>
      <c r="O183" s="22">
        <f>IF(ISNUMBER(M183), $B199 * N183, "")</f>
        <v>4054.0540540540542</v>
      </c>
      <c r="Q183" s="275"/>
      <c r="R183" s="275"/>
      <c r="S183" s="275"/>
    </row>
    <row r="184" spans="1:19" ht="17.25" thickBot="1">
      <c r="A184" s="124" t="s">
        <v>116</v>
      </c>
      <c r="B184" s="128">
        <v>668</v>
      </c>
      <c r="C184" s="76">
        <v>-2.7656477400000001E-2</v>
      </c>
      <c r="D184" s="102">
        <v>661</v>
      </c>
      <c r="E184" s="103">
        <f>IF(ISNUMBER(D184), (D184 - $B184) / $B184, "")</f>
        <v>-1.0479041916167664E-2</v>
      </c>
      <c r="F184" s="104">
        <f>IF(ISNUMBER(D184), $B199 * E184, "")</f>
        <v>-1571.8562874251495</v>
      </c>
      <c r="G184" s="105">
        <v>668</v>
      </c>
      <c r="H184" s="103">
        <f>IF(ISNUMBER(G184), (G184 - $B184) / $B184, "")</f>
        <v>0</v>
      </c>
      <c r="I184" s="106">
        <f>IF(ISNUMBER(G184), $B199 * H184, "")</f>
        <v>0</v>
      </c>
      <c r="J184" s="102">
        <v>665</v>
      </c>
      <c r="K184" s="103">
        <f>IF(ISNUMBER(J184), (J184 - $B184) / $B184, "")</f>
        <v>-4.4910179640718561E-3</v>
      </c>
      <c r="L184" s="104">
        <f>IF(ISNUMBER(J184), $B199 * K184, "")</f>
        <v>-673.65269461077844</v>
      </c>
      <c r="M184" s="105">
        <v>665</v>
      </c>
      <c r="N184" s="103">
        <f>IF(ISNUMBER(M184), (M184 - $B184) / $B184, "")</f>
        <v>-4.4910179640718561E-3</v>
      </c>
      <c r="O184" s="104">
        <f>IF(ISNUMBER(M184), $B199 * N184, "")</f>
        <v>-673.65269461077844</v>
      </c>
      <c r="Q184" s="275"/>
      <c r="R184" s="275"/>
      <c r="S184" s="275"/>
    </row>
    <row r="185" spans="1:19" ht="17.25" thickBot="1">
      <c r="A185" s="124" t="s">
        <v>138</v>
      </c>
      <c r="B185" s="125">
        <v>49370</v>
      </c>
      <c r="C185" s="73">
        <v>-2.9105211400000001E-2</v>
      </c>
      <c r="D185" s="15">
        <v>47420</v>
      </c>
      <c r="E185" s="32">
        <f t="shared" ref="E185:E188" si="98">IF(ISNUMBER(D185), (D185 - $B185) / $B185, "")</f>
        <v>-3.9497670650192426E-2</v>
      </c>
      <c r="F185" s="18">
        <f>IF(ISNUMBER(D185), $B199 * E185, "")</f>
        <v>-5924.6505975288637</v>
      </c>
      <c r="G185" s="31">
        <v>47600</v>
      </c>
      <c r="H185" s="32">
        <f t="shared" ref="H185:H188" si="99">IF(ISNUMBER(G185), (G185 - $B185) / $B185, "")</f>
        <v>-3.5851731820943894E-2</v>
      </c>
      <c r="I185" s="97">
        <f>IF(ISNUMBER(G185), $B199 * H185, "")</f>
        <v>-5377.7597731415844</v>
      </c>
      <c r="J185" s="15">
        <v>47680</v>
      </c>
      <c r="K185" s="32">
        <f t="shared" ref="K185:K188" si="100">IF(ISNUMBER(J185), (J185 - $B185) / $B185, "")</f>
        <v>-3.42313145635001E-2</v>
      </c>
      <c r="L185" s="18">
        <f>IF(ISNUMBER(J185), $B199 * K185, "")</f>
        <v>-5134.6971845250146</v>
      </c>
      <c r="M185" s="31">
        <v>47770</v>
      </c>
      <c r="N185" s="32">
        <f t="shared" ref="N185:N188" si="101">IF(ISNUMBER(M185), (M185 - $B185) / $B185, "")</f>
        <v>-3.2408345148875833E-2</v>
      </c>
      <c r="O185" s="18">
        <f>IF(ISNUMBER(M185), $B199 * N185, "")</f>
        <v>-4861.2517723313749</v>
      </c>
      <c r="Q185" s="275"/>
      <c r="R185" s="275"/>
      <c r="S185" s="275"/>
    </row>
    <row r="186" spans="1:19" ht="17.25" thickBot="1">
      <c r="A186" s="124" t="s">
        <v>130</v>
      </c>
      <c r="B186" s="125">
        <v>421700</v>
      </c>
      <c r="C186" s="73">
        <v>-2.9235727400000001E-2</v>
      </c>
      <c r="D186" s="15">
        <v>416100</v>
      </c>
      <c r="E186" s="32">
        <f t="shared" si="98"/>
        <v>-1.3279582641688404E-2</v>
      </c>
      <c r="F186" s="18">
        <f>IF(ISNUMBER(D186), $B199 * E186, "")</f>
        <v>-1991.9373962532607</v>
      </c>
      <c r="G186" s="31">
        <v>411000</v>
      </c>
      <c r="H186" s="32">
        <f t="shared" si="99"/>
        <v>-2.5373488261797486E-2</v>
      </c>
      <c r="I186" s="97">
        <f>IF(ISNUMBER(G186), $B199 * H186, "")</f>
        <v>-3806.023239269623</v>
      </c>
      <c r="J186" s="15">
        <v>411000</v>
      </c>
      <c r="K186" s="32">
        <f t="shared" si="100"/>
        <v>-2.5373488261797486E-2</v>
      </c>
      <c r="L186" s="18">
        <f>IF(ISNUMBER(J186), $B199 * K186, "")</f>
        <v>-3806.023239269623</v>
      </c>
      <c r="M186" s="31">
        <v>411450</v>
      </c>
      <c r="N186" s="32">
        <f t="shared" si="101"/>
        <v>-2.4306378942376097E-2</v>
      </c>
      <c r="O186" s="18">
        <f>IF(ISNUMBER(M186), $B199 * N186, "")</f>
        <v>-3645.9568413564148</v>
      </c>
      <c r="Q186" s="275"/>
      <c r="R186" s="275"/>
      <c r="S186" s="275"/>
    </row>
    <row r="187" spans="1:19" ht="17.25" thickBot="1">
      <c r="A187" s="124" t="s">
        <v>63</v>
      </c>
      <c r="B187" s="125">
        <v>145450</v>
      </c>
      <c r="C187" s="73">
        <v>-3.0656447900000001E-2</v>
      </c>
      <c r="D187" s="15">
        <v>139300</v>
      </c>
      <c r="E187" s="32">
        <f t="shared" si="98"/>
        <v>-4.2282571330354075E-2</v>
      </c>
      <c r="F187" s="18">
        <f>IF(ISNUMBER(D187), $B199 * E187, "")</f>
        <v>-6342.3856995531114</v>
      </c>
      <c r="G187" s="31">
        <v>141750</v>
      </c>
      <c r="H187" s="32">
        <f t="shared" si="99"/>
        <v>-2.5438294946717083E-2</v>
      </c>
      <c r="I187" s="97">
        <f>IF(ISNUMBER(G187), $B199 * H187, "")</f>
        <v>-3815.7442420075627</v>
      </c>
      <c r="J187" s="15">
        <v>139650</v>
      </c>
      <c r="K187" s="32">
        <f t="shared" si="100"/>
        <v>-3.9876246132691646E-2</v>
      </c>
      <c r="L187" s="18">
        <f>IF(ISNUMBER(J187), $B199 * K187, "")</f>
        <v>-5981.4369199037474</v>
      </c>
      <c r="M187" s="31">
        <v>138350</v>
      </c>
      <c r="N187" s="32">
        <f t="shared" si="101"/>
        <v>-4.8814025438294946E-2</v>
      </c>
      <c r="O187" s="18">
        <f>IF(ISNUMBER(M187), $B199 * N187, "")</f>
        <v>-7322.1038157442417</v>
      </c>
      <c r="Q187" s="33"/>
      <c r="R187" s="33"/>
    </row>
    <row r="188" spans="1:19" ht="17.25" thickBot="1">
      <c r="A188" s="129" t="s">
        <v>61</v>
      </c>
      <c r="B188" s="130">
        <v>1860</v>
      </c>
      <c r="C188" s="75">
        <v>-3.3766233800000003E-2</v>
      </c>
      <c r="D188" s="24">
        <v>1755</v>
      </c>
      <c r="E188" s="25">
        <f t="shared" si="98"/>
        <v>-5.6451612903225805E-2</v>
      </c>
      <c r="F188" s="100">
        <f>IF(ISNUMBER(D188), $B199 * E188, "")</f>
        <v>-8467.7419354838712</v>
      </c>
      <c r="G188" s="98">
        <v>1765</v>
      </c>
      <c r="H188" s="25">
        <f t="shared" si="99"/>
        <v>-5.1075268817204304E-2</v>
      </c>
      <c r="I188" s="99">
        <f>IF(ISNUMBER(G188), $B199 * H188, "")</f>
        <v>-7661.2903225806458</v>
      </c>
      <c r="J188" s="24">
        <v>1745</v>
      </c>
      <c r="K188" s="25">
        <f t="shared" si="100"/>
        <v>-6.1827956989247312E-2</v>
      </c>
      <c r="L188" s="100">
        <f>IF(ISNUMBER(J188), $B199 * K188, "")</f>
        <v>-9274.1935483870966</v>
      </c>
      <c r="M188" s="98">
        <v>1760</v>
      </c>
      <c r="N188" s="25">
        <f t="shared" si="101"/>
        <v>-5.3763440860215055E-2</v>
      </c>
      <c r="O188" s="100">
        <f>IF(ISNUMBER(M188), $B199 * N188, "")</f>
        <v>-8064.5161290322585</v>
      </c>
      <c r="Q188" s="284"/>
      <c r="R188" s="285"/>
      <c r="S188" s="286"/>
    </row>
    <row r="189" spans="1:19">
      <c r="A189" s="122" t="s">
        <v>206</v>
      </c>
      <c r="B189" s="123">
        <v>35950</v>
      </c>
      <c r="C189" s="72">
        <v>-3.77408994E-2</v>
      </c>
      <c r="D189" s="13">
        <v>35080</v>
      </c>
      <c r="E189" s="14">
        <f>IF(ISNUMBER(D189), (D189 - $B189) / $B189, "")</f>
        <v>-2.420027816411683E-2</v>
      </c>
      <c r="F189" s="16">
        <f>IF(ISNUMBER(D189), $B199 * E189, "")</f>
        <v>-3630.0417246175243</v>
      </c>
      <c r="G189" s="29">
        <v>35420</v>
      </c>
      <c r="H189" s="14">
        <f>IF(ISNUMBER(G189), (G189 - $B189) / $B189, "")</f>
        <v>-1.474269819193324E-2</v>
      </c>
      <c r="I189" s="96">
        <f>IF(ISNUMBER(G189), $B199 * H189, "")</f>
        <v>-2211.4047287899862</v>
      </c>
      <c r="J189" s="13">
        <v>35410</v>
      </c>
      <c r="K189" s="14">
        <f>IF(ISNUMBER(J189), (J189 - $B189) / $B189, "")</f>
        <v>-1.502086230876217E-2</v>
      </c>
      <c r="L189" s="16">
        <f>IF(ISNUMBER(J189), $B199 * K189, "")</f>
        <v>-2253.1293463143256</v>
      </c>
      <c r="M189" s="29">
        <v>35290</v>
      </c>
      <c r="N189" s="14">
        <f>IF(ISNUMBER(M189), (M189 - $B189) / $B189, "")</f>
        <v>-1.8358831710709317E-2</v>
      </c>
      <c r="O189" s="16">
        <f>IF(ISNUMBER(M189), $B199 * N189, "")</f>
        <v>-2753.8247566063974</v>
      </c>
      <c r="Q189" s="287"/>
      <c r="R189" s="288"/>
      <c r="S189" s="289"/>
    </row>
    <row r="190" spans="1:19" ht="17.25" thickBot="1">
      <c r="A190" s="124" t="s">
        <v>204</v>
      </c>
      <c r="B190" s="125">
        <v>8045</v>
      </c>
      <c r="C190" s="73">
        <v>-3.9402985100000003E-2</v>
      </c>
      <c r="D190" s="15">
        <v>8405</v>
      </c>
      <c r="E190" s="32">
        <f t="shared" ref="E190:E193" si="102">IF(ISNUMBER(D190), (D190 - $B190) / $B190, "")</f>
        <v>4.4748290863890615E-2</v>
      </c>
      <c r="F190" s="18">
        <f>IF(ISNUMBER(D190), $B199 * E190, "")</f>
        <v>6712.2436295835923</v>
      </c>
      <c r="G190" s="31">
        <v>8475</v>
      </c>
      <c r="H190" s="32">
        <f t="shared" ref="H190:H193" si="103">IF(ISNUMBER(G190), (G190 - $B190) / $B190, "")</f>
        <v>5.3449347420758235E-2</v>
      </c>
      <c r="I190" s="97">
        <f>IF(ISNUMBER(G190), $B199 * H190, "")</f>
        <v>8017.4021131137351</v>
      </c>
      <c r="J190" s="15">
        <v>8495</v>
      </c>
      <c r="K190" s="32">
        <f t="shared" ref="K190:K193" si="104">IF(ISNUMBER(J190), (J190 - $B190) / $B190, "")</f>
        <v>5.593536357986327E-2</v>
      </c>
      <c r="L190" s="18">
        <f>IF(ISNUMBER(J190), $B199 * K190, "")</f>
        <v>8390.3045369794909</v>
      </c>
      <c r="M190" s="31">
        <v>8320</v>
      </c>
      <c r="N190" s="32">
        <f t="shared" ref="N190:N193" si="105">IF(ISNUMBER(M190), (M190 - $B190) / $B190, "")</f>
        <v>3.418272218769422E-2</v>
      </c>
      <c r="O190" s="18">
        <f>IF(ISNUMBER(M190), $B199 * N190, "")</f>
        <v>5127.4083281541334</v>
      </c>
      <c r="Q190" s="290"/>
      <c r="R190" s="291"/>
      <c r="S190" s="292"/>
    </row>
    <row r="191" spans="1:19" ht="17.25" thickBot="1">
      <c r="A191" s="124" t="s">
        <v>164</v>
      </c>
      <c r="B191" s="125">
        <v>40110</v>
      </c>
      <c r="C191" s="73">
        <v>-4.2492241600000001E-2</v>
      </c>
      <c r="D191" s="15">
        <v>39520</v>
      </c>
      <c r="E191" s="32">
        <f t="shared" si="102"/>
        <v>-1.4709548740962353E-2</v>
      </c>
      <c r="F191" s="18">
        <f>IF(ISNUMBER(D191), $B199 * E191, "")</f>
        <v>-2206.4323111443532</v>
      </c>
      <c r="G191" s="31">
        <v>39340</v>
      </c>
      <c r="H191" s="32">
        <f t="shared" si="103"/>
        <v>-1.9197207678883072E-2</v>
      </c>
      <c r="I191" s="97">
        <f>IF(ISNUMBER(G191), $B199 * H191, "")</f>
        <v>-2879.5811518324608</v>
      </c>
      <c r="J191" s="15">
        <v>39270</v>
      </c>
      <c r="K191" s="32">
        <f t="shared" si="104"/>
        <v>-2.0942408376963352E-2</v>
      </c>
      <c r="L191" s="18">
        <f>IF(ISNUMBER(J191), $B199 * K191, "")</f>
        <v>-3141.3612565445028</v>
      </c>
      <c r="M191" s="31">
        <v>39200</v>
      </c>
      <c r="N191" s="32">
        <f t="shared" si="105"/>
        <v>-2.2687609075043629E-2</v>
      </c>
      <c r="O191" s="18">
        <f>IF(ISNUMBER(M191), $B199 * N191, "")</f>
        <v>-3403.1413612565443</v>
      </c>
      <c r="Q191" s="275"/>
      <c r="R191" s="275"/>
      <c r="S191" s="275"/>
    </row>
    <row r="192" spans="1:19" ht="17.25" thickBot="1">
      <c r="A192" s="124" t="s">
        <v>98</v>
      </c>
      <c r="B192" s="125">
        <v>8775</v>
      </c>
      <c r="C192" s="73">
        <v>-4.9810503499999999E-2</v>
      </c>
      <c r="D192" s="15">
        <v>8415</v>
      </c>
      <c r="E192" s="32">
        <f t="shared" si="102"/>
        <v>-4.1025641025641026E-2</v>
      </c>
      <c r="F192" s="18">
        <f>IF(ISNUMBER(D192), $B199 * E192, "")</f>
        <v>-6153.8461538461543</v>
      </c>
      <c r="G192" s="31">
        <v>8625</v>
      </c>
      <c r="H192" s="32">
        <f t="shared" si="103"/>
        <v>-1.7094017094017096E-2</v>
      </c>
      <c r="I192" s="97">
        <f>IF(ISNUMBER(G192), $B199 * H192, "")</f>
        <v>-2564.1025641025644</v>
      </c>
      <c r="J192" s="15">
        <v>8505</v>
      </c>
      <c r="K192" s="32">
        <f t="shared" si="104"/>
        <v>-3.0769230769230771E-2</v>
      </c>
      <c r="L192" s="18">
        <f>IF(ISNUMBER(J192), $B199 * K192, "")</f>
        <v>-4615.3846153846152</v>
      </c>
      <c r="M192" s="31">
        <v>8390</v>
      </c>
      <c r="N192" s="32">
        <f t="shared" si="105"/>
        <v>-4.3874643874643876E-2</v>
      </c>
      <c r="O192" s="18">
        <f>IF(ISNUMBER(M192), $B199 * N192, "")</f>
        <v>-6581.1965811965811</v>
      </c>
      <c r="Q192" s="270"/>
      <c r="R192" s="270"/>
      <c r="S192" s="270"/>
    </row>
    <row r="193" spans="1:19" ht="17.25" thickBot="1">
      <c r="A193" s="126" t="s">
        <v>90</v>
      </c>
      <c r="B193" s="127">
        <v>483500</v>
      </c>
      <c r="C193" s="74">
        <v>-5.7504873300000002E-2</v>
      </c>
      <c r="D193" s="20">
        <v>458850</v>
      </c>
      <c r="E193" s="21">
        <f t="shared" si="102"/>
        <v>-5.0982419855222338E-2</v>
      </c>
      <c r="F193" s="22">
        <f>IF(ISNUMBER(D193), $B199 * E193, "")</f>
        <v>-7647.3629782833505</v>
      </c>
      <c r="G193" s="30">
        <v>468050</v>
      </c>
      <c r="H193" s="21">
        <f t="shared" si="103"/>
        <v>-3.1954498448810757E-2</v>
      </c>
      <c r="I193" s="101">
        <f>IF(ISNUMBER(G193), $B199 * H193, "")</f>
        <v>-4793.1747673216132</v>
      </c>
      <c r="J193" s="20">
        <v>466800</v>
      </c>
      <c r="K193" s="21">
        <f t="shared" si="104"/>
        <v>-3.4539813857290588E-2</v>
      </c>
      <c r="L193" s="22">
        <f>IF(ISNUMBER(J193), $B199 * K193, "")</f>
        <v>-5180.9720785935879</v>
      </c>
      <c r="M193" s="30">
        <v>464200</v>
      </c>
      <c r="N193" s="21">
        <f t="shared" si="105"/>
        <v>-3.9917269906928649E-2</v>
      </c>
      <c r="O193" s="22">
        <f>IF(ISNUMBER(M193), $B199 * N193, "")</f>
        <v>-5987.5904860392975</v>
      </c>
      <c r="Q193" s="270"/>
      <c r="R193" s="270"/>
      <c r="S193" s="270"/>
    </row>
    <row r="194" spans="1:19" ht="17.25" thickBot="1">
      <c r="A194" s="124" t="s">
        <v>94</v>
      </c>
      <c r="B194" s="128">
        <v>162950</v>
      </c>
      <c r="C194" s="76">
        <v>-6.40436531E-2</v>
      </c>
      <c r="D194" s="102">
        <v>155400</v>
      </c>
      <c r="E194" s="103">
        <f>IF(ISNUMBER(D194), (D194 - $B194) / $B194, "")</f>
        <v>-4.6333231052470079E-2</v>
      </c>
      <c r="F194" s="104">
        <f>IF(ISNUMBER(D194), $B199 * E194, "")</f>
        <v>-6949.9846578705119</v>
      </c>
      <c r="G194" s="105">
        <v>158100</v>
      </c>
      <c r="H194" s="103">
        <f>IF(ISNUMBER(G194), (G194 - $B194) / $B194, "")</f>
        <v>-2.9763731205891378E-2</v>
      </c>
      <c r="I194" s="106">
        <f>IF(ISNUMBER(G194), $B199 * H194, "")</f>
        <v>-4464.5596808837072</v>
      </c>
      <c r="J194" s="102">
        <v>157100</v>
      </c>
      <c r="K194" s="103">
        <f>IF(ISNUMBER(J194), (J194 - $B194) / $B194, "")</f>
        <v>-3.5900583000920527E-2</v>
      </c>
      <c r="L194" s="104">
        <f>IF(ISNUMBER(J194), $B199 * K194, "")</f>
        <v>-5385.0874501380795</v>
      </c>
      <c r="M194" s="105">
        <v>157050</v>
      </c>
      <c r="N194" s="103">
        <f>IF(ISNUMBER(M194), (M194 - $B194) / $B194, "")</f>
        <v>-3.6207425590671985E-2</v>
      </c>
      <c r="O194" s="104">
        <f>IF(ISNUMBER(M194), $B199 * N194, "")</f>
        <v>-5431.1138386007979</v>
      </c>
      <c r="Q194" s="275"/>
      <c r="R194" s="275"/>
      <c r="S194" s="275"/>
    </row>
    <row r="195" spans="1:19" ht="17.25" thickBot="1">
      <c r="A195" s="124" t="s">
        <v>104</v>
      </c>
      <c r="B195" s="125">
        <v>3060</v>
      </c>
      <c r="C195" s="73">
        <v>-6.5648855000000006E-2</v>
      </c>
      <c r="D195" s="15">
        <v>2955</v>
      </c>
      <c r="E195" s="32">
        <f t="shared" ref="E195:E198" si="106">IF(ISNUMBER(D195), (D195 - $B195) / $B195, "")</f>
        <v>-3.4313725490196081E-2</v>
      </c>
      <c r="F195" s="18">
        <f>IF(ISNUMBER(D195), $B199 * E195, "")</f>
        <v>-5147.0588235294126</v>
      </c>
      <c r="G195" s="31">
        <v>2975</v>
      </c>
      <c r="H195" s="32">
        <f t="shared" ref="H195:H198" si="107">IF(ISNUMBER(G195), (G195 - $B195) / $B195, "")</f>
        <v>-2.7777777777777776E-2</v>
      </c>
      <c r="I195" s="97">
        <f>IF(ISNUMBER(G195), $B199 * H195, "")</f>
        <v>-4166.6666666666661</v>
      </c>
      <c r="J195" s="15">
        <v>2940</v>
      </c>
      <c r="K195" s="32">
        <f t="shared" ref="K195:K198" si="108">IF(ISNUMBER(J195), (J195 - $B195) / $B195, "")</f>
        <v>-3.9215686274509803E-2</v>
      </c>
      <c r="L195" s="18">
        <f>IF(ISNUMBER(J195), $B199 * K195, "")</f>
        <v>-5882.3529411764703</v>
      </c>
      <c r="M195" s="31">
        <v>2885</v>
      </c>
      <c r="N195" s="32">
        <f t="shared" ref="N195:N198" si="109">IF(ISNUMBER(M195), (M195 - $B195) / $B195, "")</f>
        <v>-5.7189542483660129E-2</v>
      </c>
      <c r="O195" s="18">
        <f>IF(ISNUMBER(M195), $B199 * N195, "")</f>
        <v>-8578.4313725490192</v>
      </c>
      <c r="Q195" s="275"/>
      <c r="R195" s="275"/>
      <c r="S195" s="275"/>
    </row>
    <row r="196" spans="1:19" ht="17.25" thickBot="1">
      <c r="A196" s="124" t="s">
        <v>86</v>
      </c>
      <c r="B196" s="125">
        <v>12930</v>
      </c>
      <c r="C196" s="73">
        <v>-7.9715302500000002E-2</v>
      </c>
      <c r="D196" s="15">
        <v>12580</v>
      </c>
      <c r="E196" s="32">
        <f t="shared" si="106"/>
        <v>-2.7068832173240527E-2</v>
      </c>
      <c r="F196" s="18">
        <f>IF(ISNUMBER(D196), $B199 * E196, "")</f>
        <v>-4060.3248259860788</v>
      </c>
      <c r="G196" s="31">
        <v>12310</v>
      </c>
      <c r="H196" s="32">
        <f t="shared" si="107"/>
        <v>-4.7950502706883218E-2</v>
      </c>
      <c r="I196" s="97">
        <f>IF(ISNUMBER(G196), $B199 * H196, "")</f>
        <v>-7192.5754060324825</v>
      </c>
      <c r="J196" s="15">
        <v>12130</v>
      </c>
      <c r="K196" s="32">
        <f t="shared" si="108"/>
        <v>-6.1871616395978345E-2</v>
      </c>
      <c r="L196" s="18">
        <f>IF(ISNUMBER(J196), $B199 * K196, "")</f>
        <v>-9280.7424593967517</v>
      </c>
      <c r="M196" s="31">
        <v>12250</v>
      </c>
      <c r="N196" s="32">
        <f t="shared" si="109"/>
        <v>-5.2590873936581593E-2</v>
      </c>
      <c r="O196" s="18">
        <f>IF(ISNUMBER(M196), $B199 * N196, "")</f>
        <v>-7888.6310904872389</v>
      </c>
      <c r="Q196" s="275"/>
      <c r="R196" s="275"/>
      <c r="S196" s="275"/>
    </row>
    <row r="197" spans="1:19">
      <c r="A197" s="124" t="s">
        <v>78</v>
      </c>
      <c r="B197" s="125">
        <v>1685500</v>
      </c>
      <c r="C197" s="73">
        <v>-8.9657034799999993E-2</v>
      </c>
      <c r="D197" s="15">
        <v>1648000</v>
      </c>
      <c r="E197" s="32">
        <f t="shared" si="106"/>
        <v>-2.2248590922574904E-2</v>
      </c>
      <c r="F197" s="18">
        <f>IF(ISNUMBER(D197), $B199 * E197, "")</f>
        <v>-3337.2886383862356</v>
      </c>
      <c r="G197" s="31">
        <v>1690500</v>
      </c>
      <c r="H197" s="32">
        <f t="shared" si="107"/>
        <v>2.9664787896766538E-3</v>
      </c>
      <c r="I197" s="97">
        <f>IF(ISNUMBER(G197), $B199 * H197, "")</f>
        <v>444.97181845149805</v>
      </c>
      <c r="J197" s="15">
        <v>1676000</v>
      </c>
      <c r="K197" s="32">
        <f t="shared" si="108"/>
        <v>-5.6363097003856426E-3</v>
      </c>
      <c r="L197" s="18">
        <f>IF(ISNUMBER(J197), $B199 * K197, "")</f>
        <v>-845.44645505784638</v>
      </c>
      <c r="M197" s="31">
        <v>1668000</v>
      </c>
      <c r="N197" s="32">
        <f t="shared" si="109"/>
        <v>-1.0382675763868289E-2</v>
      </c>
      <c r="O197" s="18">
        <f>IF(ISNUMBER(M197), $B199 * N197, "")</f>
        <v>-1557.4013645802434</v>
      </c>
      <c r="Q197" s="297"/>
      <c r="R197" s="298"/>
      <c r="S197" s="299"/>
    </row>
    <row r="198" spans="1:19" ht="17.25" thickBot="1">
      <c r="A198" s="129" t="s">
        <v>108</v>
      </c>
      <c r="B198" s="130">
        <v>65080</v>
      </c>
      <c r="C198" s="75">
        <v>-9.0171955799999995E-2</v>
      </c>
      <c r="D198" s="24">
        <v>61560</v>
      </c>
      <c r="E198" s="25">
        <f t="shared" si="106"/>
        <v>-5.4087277197295634E-2</v>
      </c>
      <c r="F198" s="100">
        <f>IF(ISNUMBER(D198), $B199 * E198, "")</f>
        <v>-8113.0915795943447</v>
      </c>
      <c r="G198" s="98">
        <v>62840</v>
      </c>
      <c r="H198" s="25">
        <f t="shared" si="107"/>
        <v>-3.4419176398279044E-2</v>
      </c>
      <c r="I198" s="99">
        <f>IF(ISNUMBER(G198), $B199 * H198, "")</f>
        <v>-5162.8764597418567</v>
      </c>
      <c r="J198" s="24">
        <v>63300</v>
      </c>
      <c r="K198" s="25">
        <f t="shared" si="108"/>
        <v>-2.7350952673632453E-2</v>
      </c>
      <c r="L198" s="100">
        <f>IF(ISNUMBER(J198), $B199 * K198, "")</f>
        <v>-4102.6429010448683</v>
      </c>
      <c r="M198" s="98">
        <v>61790</v>
      </c>
      <c r="N198" s="25">
        <f t="shared" si="109"/>
        <v>-5.0553165334972339E-2</v>
      </c>
      <c r="O198" s="100">
        <f>IF(ISNUMBER(M198), $B199 * N198, "")</f>
        <v>-7582.9748002458509</v>
      </c>
      <c r="Q198" s="300"/>
      <c r="R198" s="301"/>
      <c r="S198" s="302"/>
    </row>
    <row r="199" spans="1:19" ht="17.25" thickBot="1">
      <c r="A199" s="131" t="s">
        <v>301</v>
      </c>
      <c r="B199" s="308">
        <f>$B$37</f>
        <v>150000</v>
      </c>
      <c r="C199" s="309"/>
      <c r="D199" s="26" t="s">
        <v>302</v>
      </c>
      <c r="E199" s="27">
        <f>IF(COUNT(E179:E198), SUM(E179:E198) / COUNT(E179:E198), 0)</f>
        <v>-2.3847231957161014E-2</v>
      </c>
      <c r="F199" s="28">
        <f>SUM(F179:F198)</f>
        <v>-71541.695871483054</v>
      </c>
      <c r="G199" s="26" t="s">
        <v>302</v>
      </c>
      <c r="H199" s="27">
        <f>IF(COUNT(H179:H198), SUM(H179:H198) / COUNT(H179:H198), 0)</f>
        <v>-1.4468853220479094E-2</v>
      </c>
      <c r="I199" s="28">
        <f>SUM(I179:I198)</f>
        <v>-43406.55966143727</v>
      </c>
      <c r="J199" s="26" t="s">
        <v>302</v>
      </c>
      <c r="K199" s="27">
        <f>IF(COUNT(K179:K198), SUM(K179:K198) / COUNT(K179:K198), 0)</f>
        <v>-1.8652918560449917E-2</v>
      </c>
      <c r="L199" s="28">
        <f>SUM(L179:L198)</f>
        <v>-55958.755681349743</v>
      </c>
      <c r="M199" s="26" t="s">
        <v>302</v>
      </c>
      <c r="N199" s="27">
        <f>IF(COUNT(N179:N198), SUM(N179:N198) / COUNT(N179:N198), 0)</f>
        <v>-1.9944939621124414E-2</v>
      </c>
      <c r="O199" s="28">
        <f>SUM(O179:O198)</f>
        <v>-59834.818863373235</v>
      </c>
      <c r="Q199" s="303"/>
      <c r="R199" s="304"/>
      <c r="S199" s="30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6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6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6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6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6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6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03" priority="157">
      <formula>AND($N17 &gt; 0, ISNUMBER($N17))</formula>
    </cfRule>
    <cfRule type="expression" dxfId="1602" priority="158">
      <formula>AND($N17 = 0 * ISNUMBER($N17))</formula>
    </cfRule>
    <cfRule type="expression" dxfId="1601" priority="159">
      <formula>AND($N17 &lt; 0, ISNUMBER($N17))</formula>
    </cfRule>
  </conditionalFormatting>
  <conditionalFormatting sqref="A17:F36">
    <cfRule type="expression" dxfId="1600" priority="166">
      <formula>AND($E17 &gt; 0, ISNUMBER($E17))</formula>
    </cfRule>
    <cfRule type="expression" dxfId="1599" priority="167">
      <formula>AND($E17 = 0 * ISNUMBER($E17))</formula>
    </cfRule>
    <cfRule type="expression" dxfId="1598" priority="168">
      <formula>AND($E17 &lt; 0, ISNUMBER($E17))</formula>
    </cfRule>
  </conditionalFormatting>
  <conditionalFormatting sqref="A17:C36 G17:I36">
    <cfRule type="expression" dxfId="1597" priority="163">
      <formula>AND($H17 &gt; 0, ISNUMBER($H17))</formula>
    </cfRule>
    <cfRule type="expression" dxfId="1596" priority="164">
      <formula>AND($H17 = 0 * ISNUMBER($H17))</formula>
    </cfRule>
    <cfRule type="expression" dxfId="1595" priority="165">
      <formula>AND($H17 &lt; 0, ISNUMBER($H17))</formula>
    </cfRule>
  </conditionalFormatting>
  <conditionalFormatting sqref="A17:C36 J17:L36">
    <cfRule type="expression" dxfId="1594" priority="160">
      <formula>AND($K17 &gt; 0, ISNUMBER($K17))</formula>
    </cfRule>
    <cfRule type="expression" dxfId="1593" priority="161">
      <formula>AND($K17 = 0 * ISNUMBER($K17))</formula>
    </cfRule>
    <cfRule type="expression" dxfId="1592" priority="162">
      <formula>AND($K17 &lt; 0, ISNUMBER($K17))</formula>
    </cfRule>
  </conditionalFormatting>
  <conditionalFormatting sqref="D15:F16 E37:F37">
    <cfRule type="expression" dxfId="1591" priority="154">
      <formula>$E$37 &gt; 0</formula>
    </cfRule>
    <cfRule type="expression" dxfId="1590" priority="155">
      <formula>$E$37 = 0</formula>
    </cfRule>
    <cfRule type="expression" dxfId="1589" priority="156">
      <formula>$E$37 &lt; 0</formula>
    </cfRule>
  </conditionalFormatting>
  <conditionalFormatting sqref="G15:I16 H37:I37">
    <cfRule type="expression" dxfId="1588" priority="151">
      <formula>$H$37 &gt; 0</formula>
    </cfRule>
    <cfRule type="expression" dxfId="1587" priority="152">
      <formula>$H$37 = 0</formula>
    </cfRule>
    <cfRule type="expression" dxfId="1586" priority="153">
      <formula>$H$37 &lt; 0</formula>
    </cfRule>
  </conditionalFormatting>
  <conditionalFormatting sqref="J15:L16 K37:L37">
    <cfRule type="expression" dxfId="1585" priority="148">
      <formula>$K$37 &gt; 0</formula>
    </cfRule>
    <cfRule type="expression" dxfId="1584" priority="149">
      <formula>$K$37 = 0</formula>
    </cfRule>
    <cfRule type="expression" dxfId="1583" priority="150">
      <formula>$K$37 &lt; 0</formula>
    </cfRule>
  </conditionalFormatting>
  <conditionalFormatting sqref="M15:O16 N37:O37">
    <cfRule type="expression" dxfId="1582" priority="145">
      <formula>$N$37 &gt; 0</formula>
    </cfRule>
    <cfRule type="expression" dxfId="1581" priority="146">
      <formula>$N$37 = 0</formula>
    </cfRule>
    <cfRule type="expression" dxfId="1580" priority="147">
      <formula>$N$37 &lt; 0</formula>
    </cfRule>
  </conditionalFormatting>
  <conditionalFormatting sqref="A44:C63 M44:O63">
    <cfRule type="expression" dxfId="1579" priority="133">
      <formula>AND($N44 &gt; 0, ISNUMBER($N44))</formula>
    </cfRule>
    <cfRule type="expression" dxfId="1578" priority="134">
      <formula>AND($N44 = 0 * ISNUMBER($N44))</formula>
    </cfRule>
    <cfRule type="expression" dxfId="1577" priority="135">
      <formula>AND($N44 &lt; 0, ISNUMBER($N44))</formula>
    </cfRule>
  </conditionalFormatting>
  <conditionalFormatting sqref="A44:F63">
    <cfRule type="expression" dxfId="1576" priority="142">
      <formula>AND($E44 &gt; 0, ISNUMBER($E44))</formula>
    </cfRule>
    <cfRule type="expression" dxfId="1575" priority="143">
      <formula>AND($E44 = 0 * ISNUMBER($E44))</formula>
    </cfRule>
    <cfRule type="expression" dxfId="1574" priority="144">
      <formula>AND($E44 &lt; 0, ISNUMBER($E44))</formula>
    </cfRule>
  </conditionalFormatting>
  <conditionalFormatting sqref="A44:C63 G44:I63">
    <cfRule type="expression" dxfId="1573" priority="139">
      <formula>AND($H44 &gt; 0, ISNUMBER($H44))</formula>
    </cfRule>
    <cfRule type="expression" dxfId="1572" priority="140">
      <formula>AND($H44 = 0 * ISNUMBER($H44))</formula>
    </cfRule>
    <cfRule type="expression" dxfId="1571" priority="141">
      <formula>AND($H44 &lt; 0, ISNUMBER($H44))</formula>
    </cfRule>
  </conditionalFormatting>
  <conditionalFormatting sqref="A44:C63 J44:L63">
    <cfRule type="expression" dxfId="1570" priority="136">
      <formula>AND($K44 &gt; 0, ISNUMBER($K44))</formula>
    </cfRule>
    <cfRule type="expression" dxfId="1569" priority="137">
      <formula>AND($K44 = 0 * ISNUMBER($K44))</formula>
    </cfRule>
    <cfRule type="expression" dxfId="1568" priority="138">
      <formula>AND($K44 &lt; 0, ISNUMBER($K44))</formula>
    </cfRule>
  </conditionalFormatting>
  <conditionalFormatting sqref="D42:F43 E64:F64">
    <cfRule type="expression" dxfId="1567" priority="130">
      <formula>$E$64 &gt; 0</formula>
    </cfRule>
    <cfRule type="expression" dxfId="1566" priority="131">
      <formula>$E$64 = 0</formula>
    </cfRule>
    <cfRule type="expression" dxfId="1565" priority="132">
      <formula>$E$64 &lt; 0</formula>
    </cfRule>
  </conditionalFormatting>
  <conditionalFormatting sqref="G42:I43 H64:I64">
    <cfRule type="expression" dxfId="1564" priority="127">
      <formula>$H$64 &gt; 0</formula>
    </cfRule>
    <cfRule type="expression" dxfId="1563" priority="128">
      <formula>$H$64 = 0</formula>
    </cfRule>
    <cfRule type="expression" dxfId="1562" priority="129">
      <formula>$H$64 &lt; 0</formula>
    </cfRule>
  </conditionalFormatting>
  <conditionalFormatting sqref="J42:L43 K64:L64">
    <cfRule type="expression" dxfId="1561" priority="124">
      <formula>$K$64 &gt; 0</formula>
    </cfRule>
    <cfRule type="expression" dxfId="1560" priority="125">
      <formula>$K$64 = 0</formula>
    </cfRule>
    <cfRule type="expression" dxfId="1559" priority="126">
      <formula>$K$64 &lt; 0</formula>
    </cfRule>
  </conditionalFormatting>
  <conditionalFormatting sqref="M42:O43 N64:O64">
    <cfRule type="expression" dxfId="1558" priority="121">
      <formula>$N$64 &gt; 0</formula>
    </cfRule>
    <cfRule type="expression" dxfId="1557" priority="122">
      <formula>$N$64 = 0</formula>
    </cfRule>
    <cfRule type="expression" dxfId="1556" priority="123">
      <formula>$N$64 &lt; 0</formula>
    </cfRule>
  </conditionalFormatting>
  <conditionalFormatting sqref="A71:C90 M71:O90">
    <cfRule type="expression" dxfId="1555" priority="109">
      <formula>AND($N71 &gt; 0, ISNUMBER($N71))</formula>
    </cfRule>
    <cfRule type="expression" dxfId="1554" priority="110">
      <formula>AND($N71 = 0 * ISNUMBER($N71))</formula>
    </cfRule>
    <cfRule type="expression" dxfId="1553" priority="111">
      <formula>AND($N71 &lt; 0, ISNUMBER($N71))</formula>
    </cfRule>
  </conditionalFormatting>
  <conditionalFormatting sqref="A71:F90">
    <cfRule type="expression" dxfId="1552" priority="118">
      <formula>AND($E71 &gt; 0, ISNUMBER($E71))</formula>
    </cfRule>
    <cfRule type="expression" dxfId="1551" priority="119">
      <formula>AND($E71 = 0 * ISNUMBER($E71))</formula>
    </cfRule>
    <cfRule type="expression" dxfId="1550" priority="120">
      <formula>AND($E71 &lt; 0, ISNUMBER($E71))</formula>
    </cfRule>
  </conditionalFormatting>
  <conditionalFormatting sqref="A71:C90 G71:I90">
    <cfRule type="expression" dxfId="1549" priority="115">
      <formula>AND($H71 &gt; 0, ISNUMBER($H71))</formula>
    </cfRule>
    <cfRule type="expression" dxfId="1548" priority="116">
      <formula>AND($H71 = 0 * ISNUMBER($H71))</formula>
    </cfRule>
    <cfRule type="expression" dxfId="1547" priority="117">
      <formula>AND($H71 &lt; 0, ISNUMBER($H71))</formula>
    </cfRule>
  </conditionalFormatting>
  <conditionalFormatting sqref="A71:C90 J71:L90">
    <cfRule type="expression" dxfId="1546" priority="112">
      <formula>AND($K71 &gt; 0, ISNUMBER($K71))</formula>
    </cfRule>
    <cfRule type="expression" dxfId="1545" priority="113">
      <formula>AND($K71 = 0 * ISNUMBER($K71))</formula>
    </cfRule>
    <cfRule type="expression" dxfId="1544" priority="114">
      <formula>AND($K71 &lt; 0, ISNUMBER($K71))</formula>
    </cfRule>
  </conditionalFormatting>
  <conditionalFormatting sqref="D69:F70 E91:F91">
    <cfRule type="expression" dxfId="1543" priority="106">
      <formula>$E$91 &gt; 0</formula>
    </cfRule>
    <cfRule type="expression" dxfId="1542" priority="107">
      <formula>$E$91 = 0</formula>
    </cfRule>
    <cfRule type="expression" dxfId="1541" priority="108">
      <formula>$E$91 &lt; 0</formula>
    </cfRule>
  </conditionalFormatting>
  <conditionalFormatting sqref="G69:I70 H91:I91">
    <cfRule type="expression" dxfId="1540" priority="103">
      <formula>$H$91 &gt; 0</formula>
    </cfRule>
    <cfRule type="expression" dxfId="1539" priority="104">
      <formula>$H$91 = 0</formula>
    </cfRule>
    <cfRule type="expression" dxfId="1538" priority="105">
      <formula>$H$91 &lt; 0</formula>
    </cfRule>
  </conditionalFormatting>
  <conditionalFormatting sqref="J69:L70 K91:L91">
    <cfRule type="expression" dxfId="1537" priority="100">
      <formula>$K$91 &gt; 0</formula>
    </cfRule>
    <cfRule type="expression" dxfId="1536" priority="101">
      <formula>$K$91 = 0</formula>
    </cfRule>
    <cfRule type="expression" dxfId="1535" priority="102">
      <formula>$K$91 &lt; 0</formula>
    </cfRule>
  </conditionalFormatting>
  <conditionalFormatting sqref="M69:O70 N91:O91">
    <cfRule type="expression" dxfId="1534" priority="97">
      <formula>$N$91 &gt; 0</formula>
    </cfRule>
    <cfRule type="expression" dxfId="1533" priority="98">
      <formula>$N$91 = 0</formula>
    </cfRule>
    <cfRule type="expression" dxfId="1532" priority="99">
      <formula>$N$91 &lt; 0</formula>
    </cfRule>
  </conditionalFormatting>
  <conditionalFormatting sqref="A98:C117 M98:O117">
    <cfRule type="expression" dxfId="1531" priority="85">
      <formula>AND($N98 &gt; 0, ISNUMBER($N98))</formula>
    </cfRule>
    <cfRule type="expression" dxfId="1530" priority="86">
      <formula>AND($N98 = 0 * ISNUMBER($N98))</formula>
    </cfRule>
    <cfRule type="expression" dxfId="1529" priority="87">
      <formula>AND($N98 &lt; 0, ISNUMBER($N98))</formula>
    </cfRule>
  </conditionalFormatting>
  <conditionalFormatting sqref="A98:F117">
    <cfRule type="expression" dxfId="1528" priority="94">
      <formula>AND($E98 &gt; 0, ISNUMBER($E98))</formula>
    </cfRule>
    <cfRule type="expression" dxfId="1527" priority="95">
      <formula>AND($E98 = 0 * ISNUMBER($E98))</formula>
    </cfRule>
    <cfRule type="expression" dxfId="1526" priority="96">
      <formula>AND($E98 &lt; 0, ISNUMBER($E98))</formula>
    </cfRule>
  </conditionalFormatting>
  <conditionalFormatting sqref="A98:C117 G98:I117">
    <cfRule type="expression" dxfId="1525" priority="91">
      <formula>AND($H98 &gt; 0, ISNUMBER($H98))</formula>
    </cfRule>
    <cfRule type="expression" dxfId="1524" priority="92">
      <formula>AND($H98 = 0 * ISNUMBER($H98))</formula>
    </cfRule>
    <cfRule type="expression" dxfId="1523" priority="93">
      <formula>AND($H98 &lt; 0, ISNUMBER($H98))</formula>
    </cfRule>
  </conditionalFormatting>
  <conditionalFormatting sqref="A98:C117 J98:L117">
    <cfRule type="expression" dxfId="1522" priority="88">
      <formula>AND($K98 &gt; 0, ISNUMBER($K98))</formula>
    </cfRule>
    <cfRule type="expression" dxfId="1521" priority="89">
      <formula>AND($K98 = 0 * ISNUMBER($K98))</formula>
    </cfRule>
    <cfRule type="expression" dxfId="1520" priority="90">
      <formula>AND($K98 &lt; 0, ISNUMBER($K98))</formula>
    </cfRule>
  </conditionalFormatting>
  <conditionalFormatting sqref="D96:F97 E118:F118">
    <cfRule type="expression" dxfId="1519" priority="82">
      <formula>$E$118 &gt; 0</formula>
    </cfRule>
    <cfRule type="expression" dxfId="1518" priority="83">
      <formula>$E$118 = 0</formula>
    </cfRule>
    <cfRule type="expression" dxfId="1517" priority="84">
      <formula>$E$118 &lt; 0</formula>
    </cfRule>
  </conditionalFormatting>
  <conditionalFormatting sqref="G96:I97 H118:I118">
    <cfRule type="expression" dxfId="1516" priority="79">
      <formula>$H$118 &gt; 0</formula>
    </cfRule>
    <cfRule type="expression" dxfId="1515" priority="80">
      <formula>$H$118 = 0</formula>
    </cfRule>
    <cfRule type="expression" dxfId="1514" priority="81">
      <formula>$H$118 &lt; 0</formula>
    </cfRule>
  </conditionalFormatting>
  <conditionalFormatting sqref="J96:L97 K118:L118">
    <cfRule type="expression" dxfId="1513" priority="76">
      <formula>$K$118 &gt; 0</formula>
    </cfRule>
    <cfRule type="expression" dxfId="1512" priority="77">
      <formula>$K$118 = 0</formula>
    </cfRule>
    <cfRule type="expression" dxfId="1511" priority="78">
      <formula>$K$118 &lt; 0</formula>
    </cfRule>
  </conditionalFormatting>
  <conditionalFormatting sqref="M96:O97 N118:O118">
    <cfRule type="expression" dxfId="1510" priority="73">
      <formula>$N$118 &gt; 0</formula>
    </cfRule>
    <cfRule type="expression" dxfId="1509" priority="74">
      <formula>$N$118 = 0</formula>
    </cfRule>
    <cfRule type="expression" dxfId="1508" priority="75">
      <formula>$N$118 &lt; 0</formula>
    </cfRule>
  </conditionalFormatting>
  <conditionalFormatting sqref="A125:C144 M125:O144">
    <cfRule type="expression" dxfId="1507" priority="61">
      <formula>AND($N125 &gt; 0, ISNUMBER($N125))</formula>
    </cfRule>
    <cfRule type="expression" dxfId="1506" priority="62">
      <formula>AND($N125 = 0 * ISNUMBER($N125))</formula>
    </cfRule>
    <cfRule type="expression" dxfId="1505" priority="63">
      <formula>AND($N125 &lt; 0, ISNUMBER($N125))</formula>
    </cfRule>
  </conditionalFormatting>
  <conditionalFormatting sqref="A125:F144">
    <cfRule type="expression" dxfId="1504" priority="70">
      <formula>AND($E125 &gt; 0, ISNUMBER($E125))</formula>
    </cfRule>
    <cfRule type="expression" dxfId="1503" priority="71">
      <formula>AND($E125 = 0 * ISNUMBER($E125))</formula>
    </cfRule>
    <cfRule type="expression" dxfId="1502" priority="72">
      <formula>AND($E125 &lt; 0, ISNUMBER($E125))</formula>
    </cfRule>
  </conditionalFormatting>
  <conditionalFormatting sqref="A125:C144 G125:I144">
    <cfRule type="expression" dxfId="1501" priority="67">
      <formula>AND($H125 &gt; 0, ISNUMBER($H125))</formula>
    </cfRule>
    <cfRule type="expression" dxfId="1500" priority="68">
      <formula>AND($H125 = 0 * ISNUMBER($H125))</formula>
    </cfRule>
    <cfRule type="expression" dxfId="1499" priority="69">
      <formula>AND($H125 &lt; 0, ISNUMBER($H125))</formula>
    </cfRule>
  </conditionalFormatting>
  <conditionalFormatting sqref="A125:C144 J125:L144">
    <cfRule type="expression" dxfId="1498" priority="64">
      <formula>AND($K125 &gt; 0, ISNUMBER($K125))</formula>
    </cfRule>
    <cfRule type="expression" dxfId="1497" priority="65">
      <formula>AND($K125 = 0 * ISNUMBER($K125))</formula>
    </cfRule>
    <cfRule type="expression" dxfId="1496" priority="66">
      <formula>AND($K125 &lt; 0, ISNUMBER($K125))</formula>
    </cfRule>
  </conditionalFormatting>
  <conditionalFormatting sqref="D123:F124 E145:F145">
    <cfRule type="expression" dxfId="1495" priority="58">
      <formula>$E$145 &gt; 0</formula>
    </cfRule>
    <cfRule type="expression" dxfId="1494" priority="59">
      <formula>$E$145 = 0</formula>
    </cfRule>
    <cfRule type="expression" dxfId="1493" priority="60">
      <formula>$E$145 &lt; 0</formula>
    </cfRule>
  </conditionalFormatting>
  <conditionalFormatting sqref="G123:I124 H145:I145">
    <cfRule type="expression" dxfId="1492" priority="55">
      <formula>$H$145 &gt; 0</formula>
    </cfRule>
    <cfRule type="expression" dxfId="1491" priority="56">
      <formula>$H$145 = 0</formula>
    </cfRule>
    <cfRule type="expression" dxfId="1490" priority="57">
      <formula>$H$145 &lt; 0</formula>
    </cfRule>
  </conditionalFormatting>
  <conditionalFormatting sqref="J123:L124 K145:L145">
    <cfRule type="expression" dxfId="1489" priority="52">
      <formula>$K$145 &gt; 0</formula>
    </cfRule>
    <cfRule type="expression" dxfId="1488" priority="53">
      <formula>$K$145 = 0</formula>
    </cfRule>
    <cfRule type="expression" dxfId="1487" priority="54">
      <formula>$K$145 &lt; 0</formula>
    </cfRule>
  </conditionalFormatting>
  <conditionalFormatting sqref="M123:O124 N145:O145">
    <cfRule type="expression" dxfId="1486" priority="49">
      <formula>$N$145 &gt; 0</formula>
    </cfRule>
    <cfRule type="expression" dxfId="1485" priority="50">
      <formula>$N$145 = 0</formula>
    </cfRule>
    <cfRule type="expression" dxfId="1484" priority="51">
      <formula>$N$145 &lt; 0</formula>
    </cfRule>
  </conditionalFormatting>
  <conditionalFormatting sqref="A152:C171 M152:O171">
    <cfRule type="expression" dxfId="1483" priority="37">
      <formula>AND($N152 &gt; 0, ISNUMBER($N152))</formula>
    </cfRule>
    <cfRule type="expression" dxfId="1482" priority="38">
      <formula>AND($N152 = 0 * ISNUMBER($N152))</formula>
    </cfRule>
    <cfRule type="expression" dxfId="1481" priority="39">
      <formula>AND($N152 &lt; 0, ISNUMBER($N152))</formula>
    </cfRule>
  </conditionalFormatting>
  <conditionalFormatting sqref="A152:F171">
    <cfRule type="expression" dxfId="1480" priority="46">
      <formula>AND($E152 &gt; 0, ISNUMBER($E152))</formula>
    </cfRule>
    <cfRule type="expression" dxfId="1479" priority="47">
      <formula>AND($E152 = 0 * ISNUMBER($E152))</formula>
    </cfRule>
    <cfRule type="expression" dxfId="1478" priority="48">
      <formula>AND($E152 &lt; 0, ISNUMBER($E152))</formula>
    </cfRule>
  </conditionalFormatting>
  <conditionalFormatting sqref="A152:C171 G152:I171">
    <cfRule type="expression" dxfId="1477" priority="43">
      <formula>AND($H152 &gt; 0, ISNUMBER($H152))</formula>
    </cfRule>
    <cfRule type="expression" dxfId="1476" priority="44">
      <formula>AND($H152 = 0 * ISNUMBER($H152))</formula>
    </cfRule>
    <cfRule type="expression" dxfId="1475" priority="45">
      <formula>AND($H152 &lt; 0, ISNUMBER($H152))</formula>
    </cfRule>
  </conditionalFormatting>
  <conditionalFormatting sqref="A152:C171 J152:L171">
    <cfRule type="expression" dxfId="1474" priority="40">
      <formula>AND($K152 &gt; 0, ISNUMBER($K152))</formula>
    </cfRule>
    <cfRule type="expression" dxfId="1473" priority="41">
      <formula>AND($K152 = 0 * ISNUMBER($K152))</formula>
    </cfRule>
    <cfRule type="expression" dxfId="1472" priority="42">
      <formula>AND($K152 &lt; 0, ISNUMBER($K152))</formula>
    </cfRule>
  </conditionalFormatting>
  <conditionalFormatting sqref="D150:F151 E172:F172">
    <cfRule type="expression" dxfId="1471" priority="34">
      <formula>$E$172 &gt; 0</formula>
    </cfRule>
    <cfRule type="expression" dxfId="1470" priority="35">
      <formula>$E$172 = 0</formula>
    </cfRule>
    <cfRule type="expression" dxfId="1469" priority="36">
      <formula>$E$172 &lt; 0</formula>
    </cfRule>
  </conditionalFormatting>
  <conditionalFormatting sqref="G150:I151 H172:I172">
    <cfRule type="expression" dxfId="1468" priority="31">
      <formula>$H$172 &gt; 0</formula>
    </cfRule>
    <cfRule type="expression" dxfId="1467" priority="32">
      <formula>$H$172 = 0</formula>
    </cfRule>
    <cfRule type="expression" dxfId="1466" priority="33">
      <formula>$H$172 &lt; 0</formula>
    </cfRule>
  </conditionalFormatting>
  <conditionalFormatting sqref="J150:L151 K172:L172">
    <cfRule type="expression" dxfId="1465" priority="28">
      <formula>$K$172 &gt; 0</formula>
    </cfRule>
    <cfRule type="expression" dxfId="1464" priority="29">
      <formula>$K$172 = 0</formula>
    </cfRule>
    <cfRule type="expression" dxfId="1463" priority="30">
      <formula>$K$172 &lt; 0</formula>
    </cfRule>
  </conditionalFormatting>
  <conditionalFormatting sqref="M150:O151 N172:O172">
    <cfRule type="expression" dxfId="1462" priority="25">
      <formula>$N$172 &gt; 0</formula>
    </cfRule>
    <cfRule type="expression" dxfId="1461" priority="26">
      <formula>$N$172 = 0</formula>
    </cfRule>
    <cfRule type="expression" dxfId="1460" priority="27">
      <formula>$N$172 &lt; 0</formula>
    </cfRule>
  </conditionalFormatting>
  <conditionalFormatting sqref="A179:C198 M179:O198">
    <cfRule type="expression" dxfId="1459" priority="13">
      <formula>AND($N179 &gt; 0, ISNUMBER($N179))</formula>
    </cfRule>
    <cfRule type="expression" dxfId="1458" priority="14">
      <formula>AND($N179 = 0 * ISNUMBER($N179))</formula>
    </cfRule>
    <cfRule type="expression" dxfId="1457" priority="15">
      <formula>AND($N179 &lt; 0, ISNUMBER($N179))</formula>
    </cfRule>
  </conditionalFormatting>
  <conditionalFormatting sqref="A179:F198">
    <cfRule type="expression" dxfId="1456" priority="22">
      <formula>AND($E179 &gt; 0, ISNUMBER($E179))</formula>
    </cfRule>
    <cfRule type="expression" dxfId="1455" priority="23">
      <formula>AND($E179 = 0 * ISNUMBER($E179))</formula>
    </cfRule>
    <cfRule type="expression" dxfId="1454" priority="24">
      <formula>AND($E179 &lt; 0, ISNUMBER($E179))</formula>
    </cfRule>
  </conditionalFormatting>
  <conditionalFormatting sqref="A179:C198 G179:I198">
    <cfRule type="expression" dxfId="1453" priority="19">
      <formula>AND($H179 &gt; 0, ISNUMBER($H179))</formula>
    </cfRule>
    <cfRule type="expression" dxfId="1452" priority="20">
      <formula>AND($H179 = 0 * ISNUMBER($H179))</formula>
    </cfRule>
    <cfRule type="expression" dxfId="1451" priority="21">
      <formula>AND($H179 &lt; 0, ISNUMBER($H179))</formula>
    </cfRule>
  </conditionalFormatting>
  <conditionalFormatting sqref="A179:C198 J179:L198">
    <cfRule type="expression" dxfId="1450" priority="16">
      <formula>AND($K179 &gt; 0, ISNUMBER($K179))</formula>
    </cfRule>
    <cfRule type="expression" dxfId="1449" priority="17">
      <formula>AND($K179 = 0 * ISNUMBER($K179))</formula>
    </cfRule>
    <cfRule type="expression" dxfId="1448" priority="18">
      <formula>AND($K179 &lt; 0, ISNUMBER($K179))</formula>
    </cfRule>
  </conditionalFormatting>
  <conditionalFormatting sqref="D177:F178 E199:F199">
    <cfRule type="expression" dxfId="1447" priority="10">
      <formula>$E$199 &gt; 0</formula>
    </cfRule>
    <cfRule type="expression" dxfId="1446" priority="11">
      <formula>$E$199 = 0</formula>
    </cfRule>
    <cfRule type="expression" dxfId="1445" priority="12">
      <formula>$E$199 &lt; 0</formula>
    </cfRule>
  </conditionalFormatting>
  <conditionalFormatting sqref="G177:I178 H199:I199">
    <cfRule type="expression" dxfId="1444" priority="7">
      <formula>$H$199 &gt; 0</formula>
    </cfRule>
    <cfRule type="expression" dxfId="1443" priority="8">
      <formula>$H$199 = 0</formula>
    </cfRule>
    <cfRule type="expression" dxfId="1442" priority="9">
      <formula>$H$199 &lt; 0</formula>
    </cfRule>
  </conditionalFormatting>
  <conditionalFormatting sqref="J177:L178 K199:L199">
    <cfRule type="expression" dxfId="1441" priority="4">
      <formula>$K$199 &gt; 0</formula>
    </cfRule>
    <cfRule type="expression" dxfId="1440" priority="5">
      <formula>$K$199 = 0</formula>
    </cfRule>
    <cfRule type="expression" dxfId="1439" priority="6">
      <formula>$K$199 &lt; 0</formula>
    </cfRule>
  </conditionalFormatting>
  <conditionalFormatting sqref="M177:O178 N199:O199">
    <cfRule type="expression" dxfId="1438" priority="1">
      <formula>$N$199 &gt; 0</formula>
    </cfRule>
    <cfRule type="expression" dxfId="1437" priority="2">
      <formula>$N$199 = 0</formula>
    </cfRule>
    <cfRule type="expression" dxfId="14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D62C5-932D-49A9-BFD0-6AEEA64C3FD5}">
  <sheetPr codeName="Sheet15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9" t="s">
        <v>0</v>
      </c>
      <c r="B1" s="250"/>
      <c r="C1" s="250"/>
      <c r="D1" s="250"/>
      <c r="E1" s="250"/>
      <c r="F1" s="251"/>
      <c r="G1" s="252">
        <v>44325</v>
      </c>
      <c r="H1" s="253"/>
      <c r="I1" s="254"/>
      <c r="J1" s="249" t="s">
        <v>1</v>
      </c>
      <c r="K1" s="250"/>
      <c r="L1" s="250"/>
      <c r="M1" s="250"/>
      <c r="N1" s="250"/>
      <c r="O1" s="251"/>
      <c r="Q1" s="249" t="s">
        <v>2</v>
      </c>
      <c r="R1" s="251"/>
    </row>
    <row r="2" spans="1:19" ht="17.25" customHeight="1">
      <c r="A2" s="116" t="s">
        <v>3</v>
      </c>
      <c r="B2" s="255" t="s">
        <v>8</v>
      </c>
      <c r="C2" s="256"/>
      <c r="D2" s="256"/>
      <c r="E2" s="256"/>
      <c r="F2" s="257"/>
      <c r="G2" s="258" t="s">
        <v>46</v>
      </c>
      <c r="H2" s="259"/>
      <c r="I2" s="260"/>
      <c r="J2" s="1" t="s">
        <v>3</v>
      </c>
      <c r="K2" s="255" t="s">
        <v>376</v>
      </c>
      <c r="L2" s="256"/>
      <c r="M2" s="256"/>
      <c r="N2" s="256"/>
      <c r="O2" s="257"/>
      <c r="Q2" s="2" t="s">
        <v>6</v>
      </c>
      <c r="R2" s="3">
        <v>0.375</v>
      </c>
    </row>
    <row r="3" spans="1:19" ht="17.25" customHeight="1" thickBot="1">
      <c r="A3" s="117" t="s">
        <v>7</v>
      </c>
      <c r="B3" s="261" t="s">
        <v>384</v>
      </c>
      <c r="C3" s="262"/>
      <c r="D3" s="262"/>
      <c r="E3" s="262"/>
      <c r="F3" s="263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-147,477 KRW (-4.92%)</v>
      </c>
      <c r="H3" s="265"/>
      <c r="I3" s="266"/>
      <c r="J3" s="4" t="s">
        <v>7</v>
      </c>
      <c r="K3" s="261" t="s">
        <v>377</v>
      </c>
      <c r="L3" s="262"/>
      <c r="M3" s="262"/>
      <c r="N3" s="262"/>
      <c r="O3" s="263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61" t="s">
        <v>16</v>
      </c>
      <c r="C4" s="262"/>
      <c r="D4" s="262"/>
      <c r="E4" s="262"/>
      <c r="F4" s="263"/>
      <c r="G4" s="258" t="s">
        <v>44</v>
      </c>
      <c r="H4" s="259"/>
      <c r="I4" s="260"/>
      <c r="J4" s="4" t="s">
        <v>11</v>
      </c>
      <c r="K4" s="261" t="s">
        <v>378</v>
      </c>
      <c r="L4" s="262"/>
      <c r="M4" s="262"/>
      <c r="N4" s="262"/>
      <c r="O4" s="263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61" t="s">
        <v>374</v>
      </c>
      <c r="C5" s="262"/>
      <c r="D5" s="262"/>
      <c r="E5" s="262"/>
      <c r="F5" s="263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-140,825 KRW (-4.94%)</v>
      </c>
      <c r="H5" s="265"/>
      <c r="I5" s="266"/>
      <c r="J5" s="4" t="s">
        <v>15</v>
      </c>
      <c r="K5" s="261" t="s">
        <v>379</v>
      </c>
      <c r="L5" s="262"/>
      <c r="M5" s="262"/>
      <c r="N5" s="262"/>
      <c r="O5" s="263"/>
    </row>
    <row r="6" spans="1:19">
      <c r="A6" s="117" t="s">
        <v>18</v>
      </c>
      <c r="B6" s="261"/>
      <c r="C6" s="262"/>
      <c r="D6" s="262"/>
      <c r="E6" s="262"/>
      <c r="F6" s="263"/>
      <c r="G6" s="258" t="s">
        <v>45</v>
      </c>
      <c r="H6" s="259"/>
      <c r="I6" s="260"/>
      <c r="J6" s="4" t="s">
        <v>18</v>
      </c>
      <c r="K6" s="261" t="s">
        <v>380</v>
      </c>
      <c r="L6" s="262"/>
      <c r="M6" s="262"/>
      <c r="N6" s="262"/>
      <c r="O6" s="263"/>
    </row>
    <row r="7" spans="1:19" ht="17.25" thickBot="1">
      <c r="A7" s="117" t="s">
        <v>21</v>
      </c>
      <c r="B7" s="261"/>
      <c r="C7" s="262"/>
      <c r="D7" s="262"/>
      <c r="E7" s="262"/>
      <c r="F7" s="263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-168,127 KRW (-5.60%)</v>
      </c>
      <c r="H7" s="265"/>
      <c r="I7" s="266"/>
      <c r="J7" s="4" t="s">
        <v>21</v>
      </c>
      <c r="K7" s="261" t="s">
        <v>381</v>
      </c>
      <c r="L7" s="262"/>
      <c r="M7" s="262"/>
      <c r="N7" s="262"/>
      <c r="O7" s="263"/>
    </row>
    <row r="8" spans="1:19" ht="17.25" thickBot="1">
      <c r="A8" s="117" t="s">
        <v>24</v>
      </c>
      <c r="B8" s="261"/>
      <c r="C8" s="262"/>
      <c r="D8" s="262"/>
      <c r="E8" s="262"/>
      <c r="F8" s="263"/>
      <c r="G8" s="258" t="s">
        <v>285</v>
      </c>
      <c r="H8" s="259"/>
      <c r="I8" s="260"/>
      <c r="J8" s="4" t="s">
        <v>24</v>
      </c>
      <c r="K8" s="261"/>
      <c r="L8" s="262"/>
      <c r="M8" s="262"/>
      <c r="N8" s="262"/>
      <c r="O8" s="263"/>
      <c r="Q8" s="249" t="s">
        <v>27</v>
      </c>
      <c r="R8" s="251"/>
    </row>
    <row r="9" spans="1:19" ht="17.25" thickBot="1">
      <c r="A9" s="117" t="s">
        <v>28</v>
      </c>
      <c r="B9" s="261"/>
      <c r="C9" s="262"/>
      <c r="D9" s="262"/>
      <c r="E9" s="262"/>
      <c r="F9" s="263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-54,070 KRW (-1.80%)</v>
      </c>
      <c r="H9" s="265"/>
      <c r="I9" s="266"/>
      <c r="J9" s="4" t="s">
        <v>28</v>
      </c>
      <c r="K9" s="261"/>
      <c r="L9" s="262"/>
      <c r="M9" s="262"/>
      <c r="N9" s="262"/>
      <c r="O9" s="263"/>
      <c r="Q9" s="2" t="s">
        <v>29</v>
      </c>
      <c r="R9" s="6">
        <v>10</v>
      </c>
    </row>
    <row r="10" spans="1:19">
      <c r="A10" s="117" t="s">
        <v>30</v>
      </c>
      <c r="B10" s="261"/>
      <c r="C10" s="262"/>
      <c r="D10" s="262"/>
      <c r="E10" s="262"/>
      <c r="F10" s="263"/>
      <c r="G10" s="258" t="s">
        <v>47</v>
      </c>
      <c r="H10" s="259"/>
      <c r="I10" s="260"/>
      <c r="J10" s="4" t="s">
        <v>30</v>
      </c>
      <c r="K10" s="261" t="s">
        <v>382</v>
      </c>
      <c r="L10" s="262"/>
      <c r="M10" s="262"/>
      <c r="N10" s="262"/>
      <c r="O10" s="263"/>
      <c r="Q10" s="2" t="s">
        <v>31</v>
      </c>
      <c r="R10" s="6">
        <v>100</v>
      </c>
    </row>
    <row r="11" spans="1:19" ht="17.25" thickBot="1">
      <c r="A11" s="118" t="s">
        <v>32</v>
      </c>
      <c r="B11" s="267" t="s">
        <v>383</v>
      </c>
      <c r="C11" s="268"/>
      <c r="D11" s="268"/>
      <c r="E11" s="268"/>
      <c r="F11" s="269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-151,434 KRW (-5.05%)</v>
      </c>
      <c r="H11" s="265"/>
      <c r="I11" s="266"/>
      <c r="J11" s="7" t="s">
        <v>32</v>
      </c>
      <c r="K11" s="267" t="s">
        <v>373</v>
      </c>
      <c r="L11" s="268"/>
      <c r="M11" s="268"/>
      <c r="N11" s="268"/>
      <c r="O11" s="269"/>
      <c r="Q11" s="61" t="s">
        <v>33</v>
      </c>
      <c r="R11" s="8">
        <v>1000</v>
      </c>
    </row>
    <row r="12" spans="1:19" ht="17.25" thickBot="1"/>
    <row r="13" spans="1:19" ht="17.25" customHeight="1" thickBot="1">
      <c r="A13" s="249" t="s">
        <v>34</v>
      </c>
      <c r="B13" s="250"/>
      <c r="C13" s="250"/>
      <c r="D13" s="250"/>
      <c r="E13" s="250"/>
      <c r="F13" s="250"/>
      <c r="G13" s="250"/>
      <c r="H13" s="250"/>
      <c r="I13" s="250"/>
      <c r="J13" s="250"/>
      <c r="K13" s="250"/>
      <c r="L13" s="250"/>
      <c r="M13" s="250"/>
      <c r="N13" s="250"/>
      <c r="O13" s="251"/>
      <c r="Q13" s="270"/>
      <c r="R13" s="270"/>
      <c r="S13" s="270"/>
    </row>
    <row r="14" spans="1:19" ht="17.25" customHeight="1" thickBot="1">
      <c r="A14" s="171" t="s">
        <v>35</v>
      </c>
      <c r="B14" s="249" t="s">
        <v>36</v>
      </c>
      <c r="C14" s="251"/>
      <c r="D14" s="249" t="s">
        <v>37</v>
      </c>
      <c r="E14" s="250"/>
      <c r="F14" s="251"/>
      <c r="G14" s="276">
        <f>_xlfn.IFNA(VLOOKUP(B14, 현재가테이블!$B$2:$D$200, 2, FALSE), "-")</f>
        <v>60874000</v>
      </c>
      <c r="H14" s="277"/>
      <c r="I14" s="278"/>
      <c r="J14" s="249" t="s">
        <v>38</v>
      </c>
      <c r="K14" s="250"/>
      <c r="L14" s="251"/>
      <c r="M14" s="279">
        <f>_xlfn.IFNA(VLOOKUP(B14, 현재가테이블!$B$2:$D$200, 3, FALSE), "-")</f>
        <v>-1.4936000099999999E-2</v>
      </c>
      <c r="N14" s="280"/>
      <c r="O14" s="281"/>
      <c r="Q14" s="270"/>
      <c r="R14" s="270"/>
      <c r="S14" s="270"/>
    </row>
    <row r="15" spans="1:19" ht="17.25" customHeight="1" thickBot="1">
      <c r="A15" s="314" t="s">
        <v>39</v>
      </c>
      <c r="B15" s="315" t="str">
        <f>TEXT($G$1, "[$-ko-KR]yyyy-mm-dd(ddd) ") &amp; "오전 00:00"</f>
        <v>2021-05-09(일) 오전 00:00</v>
      </c>
      <c r="C15" s="316"/>
      <c r="D15" s="272" t="str">
        <f>TEXT($G$1, "[$-ko-KR]yyyy-mm-dd(ddd) ") &amp; "오후 14:00"</f>
        <v>2021-05-09(일) 오후 14:00</v>
      </c>
      <c r="E15" s="273"/>
      <c r="F15" s="274"/>
      <c r="G15" s="272" t="str">
        <f>TEXT($G$1, "[$-ko-KR]yyyy-mm-dd(ddd) ") &amp; "오후 19:00"</f>
        <v>2021-05-09(일) 오후 19:00</v>
      </c>
      <c r="H15" s="273"/>
      <c r="I15" s="274"/>
      <c r="J15" s="272" t="str">
        <f>TEXT($G$1, "[$-ko-KR]yyyy-mm-dd(ddd) ") &amp; "오후 21:00"</f>
        <v>2021-05-09(일) 오후 21:00</v>
      </c>
      <c r="K15" s="273"/>
      <c r="L15" s="274"/>
      <c r="M15" s="272" t="str">
        <f>TEXT($G$1+1, "[$-ko-KR]yyyy-mm-dd(ddd) ") &amp; "오전 00:00"</f>
        <v>2021-05-10(월) 오전 00:00</v>
      </c>
      <c r="N15" s="273"/>
      <c r="O15" s="274"/>
      <c r="Q15" s="270"/>
      <c r="R15" s="270"/>
      <c r="S15" s="270"/>
    </row>
    <row r="16" spans="1:19" ht="17.25" customHeight="1" thickBot="1">
      <c r="A16" s="314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72" t="s">
        <v>37</v>
      </c>
      <c r="H16" s="173" t="s">
        <v>40</v>
      </c>
      <c r="I16" s="17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75"/>
      <c r="R16" s="275"/>
      <c r="S16" s="275"/>
    </row>
    <row r="17" spans="1:19" ht="17.25" customHeight="1" thickBot="1">
      <c r="A17" s="122" t="s">
        <v>385</v>
      </c>
      <c r="B17" s="123">
        <f>IF(NOT(ISBLANK(_xlfn.IFNA(VLOOKUP($A17, $A$40:$O$199, 2, FALSE), ))), _xlfn.IFNA(VLOOKUP($A17, $A$40:$O$199, 2, FALSE), ), "")</f>
        <v>4675</v>
      </c>
      <c r="C17" s="72">
        <f>IF(NOT(ISBLANK(_xlfn.IFNA(VLOOKUP($A17, $A$40:$O$199, 3, FALSE), ))), _xlfn.IFNA(VLOOKUP($A17, $A$40:$O$199, 3, FALSE), ), "")</f>
        <v>0.21744791669999999</v>
      </c>
      <c r="D17" s="13">
        <f>IF(NOT(ISBLANK(_xlfn.IFNA(VLOOKUP($A17, $A$40:$O$199, 4, FALSE), ))), _xlfn.IFNA(VLOOKUP($A17, $A$40:$O$199, 4, FALSE), ), "")</f>
        <v>4195</v>
      </c>
      <c r="E17" s="14">
        <f>IF(NOT(ISBLANK(_xlfn.IFNA(VLOOKUP($A17, $A$40:$O$199, 5, FALSE), ))), _xlfn.IFNA(VLOOKUP($A17, $A$40:$O$199, 5, FALSE), ), "")</f>
        <v>-0.10267379679144385</v>
      </c>
      <c r="F17" s="16">
        <f>IF(NOT(ISBLANK(_xlfn.IFNA(VLOOKUP($A17, $A$40:$O$199, 6, FALSE), ))), _xlfn.IFNA(VLOOKUP($A17, $A$40:$O$199, 6, FALSE), ), "")</f>
        <v>-15401.069518716578</v>
      </c>
      <c r="G17" s="29">
        <f>IF(NOT(ISBLANK(_xlfn.IFNA(VLOOKUP($A17, $A$40:$O$199, 7, FALSE), ))), _xlfn.IFNA(VLOOKUP($A17, $A$40:$O$199, 7, FALSE), ), "")</f>
        <v>4320</v>
      </c>
      <c r="H17" s="14">
        <f>IF(NOT(ISBLANK(_xlfn.IFNA(VLOOKUP($A17, $A$40:$O$199, 8, FALSE), ))), _xlfn.IFNA(VLOOKUP($A17, $A$40:$O$199, 8, FALSE), ), "")</f>
        <v>-7.5935828877005354E-2</v>
      </c>
      <c r="I17" s="96">
        <f>IF(NOT(ISBLANK(_xlfn.IFNA(VLOOKUP($A17, $A$40:$O$199, 9, FALSE), ))), _xlfn.IFNA(VLOOKUP($A17, $A$40:$O$199, 9, FALSE), ), "")</f>
        <v>-11390.374331550804</v>
      </c>
      <c r="J17" s="13">
        <f>IF(NOT(ISBLANK(_xlfn.IFNA(VLOOKUP($A17, $A$40:$O$199, 10, FALSE), ))), _xlfn.IFNA(VLOOKUP($A17, $A$40:$O$199, 10, FALSE), ), "")</f>
        <v>4270</v>
      </c>
      <c r="K17" s="14">
        <f>IF(NOT(ISBLANK(_xlfn.IFNA(VLOOKUP($A17, $A$40:$O$199, 11, FALSE), ))), _xlfn.IFNA(VLOOKUP($A17, $A$40:$O$199, 11, FALSE), ), "")</f>
        <v>-8.6631016042780742E-2</v>
      </c>
      <c r="L17" s="16">
        <f>IF(NOT(ISBLANK(_xlfn.IFNA(VLOOKUP($A17, $A$40:$O$199, 12, FALSE), ))), _xlfn.IFNA(VLOOKUP($A17, $A$40:$O$199, 12, FALSE), ), "")</f>
        <v>-12994.652406417112</v>
      </c>
      <c r="M17" s="29">
        <f>IF(NOT(ISBLANK(_xlfn.IFNA(VLOOKUP($A17, $A$40:$O$199, 13, FALSE), ))), _xlfn.IFNA(VLOOKUP($A17, $A$40:$O$199, 13, FALSE), ), "")</f>
        <v>4185</v>
      </c>
      <c r="N17" s="14">
        <f>IF(NOT(ISBLANK(_xlfn.IFNA(VLOOKUP($A17, $A$40:$O$199, 14, FALSE), ))), _xlfn.IFNA(VLOOKUP($A17, $A$40:$O$199, 14, FALSE), ), "")</f>
        <v>-0.10481283422459893</v>
      </c>
      <c r="O17" s="16">
        <f>IF(NOT(ISBLANK(_xlfn.IFNA(VLOOKUP($A17, $A$40:$O$199, 15, FALSE), ))), _xlfn.IFNA(VLOOKUP($A17, $A$40:$O$199, 15, FALSE), ), "")</f>
        <v>-15721.92513368984</v>
      </c>
      <c r="Q17" s="270"/>
      <c r="R17" s="270"/>
      <c r="S17" s="270"/>
    </row>
    <row r="18" spans="1:19" ht="17.25" customHeight="1" thickBot="1">
      <c r="A18" s="124" t="s">
        <v>386</v>
      </c>
      <c r="B18" s="125">
        <f t="shared" ref="B18:B36" si="0">IF(NOT(ISBLANK(_xlfn.IFNA(VLOOKUP($A18, $A$40:$O$199, 2, FALSE), ))), _xlfn.IFNA(VLOOKUP($A18, $A$40:$O$199, 2, FALSE), ), "")</f>
        <v>1555</v>
      </c>
      <c r="C18" s="73">
        <f t="shared" ref="C18:C36" si="1">IF(NOT(ISBLANK(_xlfn.IFNA(VLOOKUP($A18, $A$40:$O$199, 3, FALSE), ))), _xlfn.IFNA(VLOOKUP($A18, $A$40:$O$199, 3, FALSE), ), "")</f>
        <v>0.1309090909</v>
      </c>
      <c r="D18" s="15">
        <f t="shared" ref="D18:D36" si="2">IF(NOT(ISBLANK(_xlfn.IFNA(VLOOKUP($A18, $A$40:$O$199, 4, FALSE), ))), _xlfn.IFNA(VLOOKUP($A18, $A$40:$O$199, 4, FALSE), ), "")</f>
        <v>1460</v>
      </c>
      <c r="E18" s="32">
        <f t="shared" ref="E18:E36" si="3">IF(NOT(ISBLANK(_xlfn.IFNA(VLOOKUP($A18, $A$40:$O$199, 5, FALSE), ))), _xlfn.IFNA(VLOOKUP($A18, $A$40:$O$199, 5, FALSE), ), "")</f>
        <v>-6.1093247588424437E-2</v>
      </c>
      <c r="F18" s="18">
        <f t="shared" ref="F18:F36" si="4">IF(NOT(ISBLANK(_xlfn.IFNA(VLOOKUP($A18, $A$40:$O$199, 6, FALSE), ))), _xlfn.IFNA(VLOOKUP($A18, $A$40:$O$199, 6, FALSE), ), "")</f>
        <v>-9163.9871382636647</v>
      </c>
      <c r="G18" s="31">
        <f t="shared" ref="G18:G36" si="5">IF(NOT(ISBLANK(_xlfn.IFNA(VLOOKUP($A18, $A$40:$O$199, 7, FALSE), ))), _xlfn.IFNA(VLOOKUP($A18, $A$40:$O$199, 7, FALSE), ), "")</f>
        <v>1420</v>
      </c>
      <c r="H18" s="32">
        <f t="shared" ref="H18:H36" si="6">IF(NOT(ISBLANK(_xlfn.IFNA(VLOOKUP($A18, $A$40:$O$199, 8, FALSE), ))), _xlfn.IFNA(VLOOKUP($A18, $A$40:$O$199, 8, FALSE), ), "")</f>
        <v>-8.6816720257234734E-2</v>
      </c>
      <c r="I18" s="97">
        <f t="shared" ref="I18:I36" si="7">IF(NOT(ISBLANK(_xlfn.IFNA(VLOOKUP($A18, $A$40:$O$199, 9, FALSE), ))), _xlfn.IFNA(VLOOKUP($A18, $A$40:$O$199, 9, FALSE), ), "")</f>
        <v>-13022.508038585211</v>
      </c>
      <c r="J18" s="15">
        <f t="shared" ref="J18:J36" si="8">IF(NOT(ISBLANK(_xlfn.IFNA(VLOOKUP($A18, $A$40:$O$199, 10, FALSE), ))), _xlfn.IFNA(VLOOKUP($A18, $A$40:$O$199, 10, FALSE), ), "")</f>
        <v>1410</v>
      </c>
      <c r="K18" s="32">
        <f t="shared" ref="K18:K36" si="9">IF(NOT(ISBLANK(_xlfn.IFNA(VLOOKUP($A18, $A$40:$O$199, 11, FALSE), ))), _xlfn.IFNA(VLOOKUP($A18, $A$40:$O$199, 11, FALSE), ), "")</f>
        <v>-9.3247588424437297E-2</v>
      </c>
      <c r="L18" s="18">
        <f t="shared" ref="L18:L36" si="10">IF(NOT(ISBLANK(_xlfn.IFNA(VLOOKUP($A18, $A$40:$O$199, 12, FALSE), ))), _xlfn.IFNA(VLOOKUP($A18, $A$40:$O$199, 12, FALSE), ), "")</f>
        <v>-13987.138263665594</v>
      </c>
      <c r="M18" s="31">
        <f t="shared" ref="M18:M36" si="11">IF(NOT(ISBLANK(_xlfn.IFNA(VLOOKUP($A18, $A$40:$O$199, 13, FALSE), ))), _xlfn.IFNA(VLOOKUP($A18, $A$40:$O$199, 13, FALSE), ), "")</f>
        <v>1420</v>
      </c>
      <c r="N18" s="32">
        <f t="shared" ref="N18:N36" si="12">IF(NOT(ISBLANK(_xlfn.IFNA(VLOOKUP($A18, $A$40:$O$199, 14, FALSE), ))), _xlfn.IFNA(VLOOKUP($A18, $A$40:$O$199, 14, FALSE), ), "")</f>
        <v>-8.6816720257234734E-2</v>
      </c>
      <c r="O18" s="18">
        <f t="shared" ref="O18:O36" si="13">IF(NOT(ISBLANK(_xlfn.IFNA(VLOOKUP($A18, $A$40:$O$199, 15, FALSE), ))), _xlfn.IFNA(VLOOKUP($A18, $A$40:$O$199, 15, FALSE), ), "")</f>
        <v>-13022.508038585211</v>
      </c>
      <c r="Q18" s="270"/>
      <c r="R18" s="270"/>
      <c r="S18" s="270"/>
    </row>
    <row r="19" spans="1:19" ht="17.25" customHeight="1" thickBot="1">
      <c r="A19" s="124" t="s">
        <v>387</v>
      </c>
      <c r="B19" s="125">
        <f t="shared" si="0"/>
        <v>567</v>
      </c>
      <c r="C19" s="73">
        <f t="shared" si="1"/>
        <v>9.0384615400000007E-2</v>
      </c>
      <c r="D19" s="15">
        <f t="shared" si="2"/>
        <v>570</v>
      </c>
      <c r="E19" s="32">
        <f t="shared" si="3"/>
        <v>5.2910052910052907E-3</v>
      </c>
      <c r="F19" s="18">
        <f t="shared" si="4"/>
        <v>793.65079365079362</v>
      </c>
      <c r="G19" s="31">
        <f t="shared" si="5"/>
        <v>556</v>
      </c>
      <c r="H19" s="32">
        <f t="shared" si="6"/>
        <v>-1.9400352733686066E-2</v>
      </c>
      <c r="I19" s="97">
        <f t="shared" si="7"/>
        <v>-2910.0529100529097</v>
      </c>
      <c r="J19" s="15">
        <f t="shared" si="8"/>
        <v>552</v>
      </c>
      <c r="K19" s="32">
        <f t="shared" si="9"/>
        <v>-2.6455026455026454E-2</v>
      </c>
      <c r="L19" s="18">
        <f t="shared" si="10"/>
        <v>-3968.2539682539682</v>
      </c>
      <c r="M19" s="31">
        <f t="shared" si="11"/>
        <v>553</v>
      </c>
      <c r="N19" s="32">
        <f t="shared" si="12"/>
        <v>-2.4691358024691357E-2</v>
      </c>
      <c r="O19" s="18">
        <f t="shared" si="13"/>
        <v>-3703.7037037037035</v>
      </c>
      <c r="Q19" s="275"/>
      <c r="R19" s="275"/>
      <c r="S19" s="275"/>
    </row>
    <row r="20" spans="1:19" ht="17.25" customHeight="1" thickBot="1">
      <c r="A20" s="124" t="s">
        <v>362</v>
      </c>
      <c r="B20" s="125">
        <f t="shared" si="0"/>
        <v>5600</v>
      </c>
      <c r="C20" s="73">
        <f t="shared" si="1"/>
        <v>8.4220716400000006E-2</v>
      </c>
      <c r="D20" s="15">
        <f t="shared" si="2"/>
        <v>5170</v>
      </c>
      <c r="E20" s="32">
        <f t="shared" si="3"/>
        <v>-7.678571428571429E-2</v>
      </c>
      <c r="F20" s="18">
        <f t="shared" si="4"/>
        <v>-11517.857142857143</v>
      </c>
      <c r="G20" s="31">
        <f t="shared" si="5"/>
        <v>5145</v>
      </c>
      <c r="H20" s="32">
        <f t="shared" si="6"/>
        <v>-8.1250000000000003E-2</v>
      </c>
      <c r="I20" s="97">
        <f t="shared" si="7"/>
        <v>-12187.5</v>
      </c>
      <c r="J20" s="15">
        <f t="shared" si="8"/>
        <v>4995</v>
      </c>
      <c r="K20" s="32">
        <f t="shared" si="9"/>
        <v>-0.10803571428571429</v>
      </c>
      <c r="L20" s="18">
        <f t="shared" si="10"/>
        <v>-16205.357142857143</v>
      </c>
      <c r="M20" s="31">
        <f t="shared" si="11"/>
        <v>4995</v>
      </c>
      <c r="N20" s="32">
        <f t="shared" si="12"/>
        <v>-0.10803571428571429</v>
      </c>
      <c r="O20" s="18">
        <f t="shared" si="13"/>
        <v>-16205.357142857143</v>
      </c>
      <c r="Q20" s="275"/>
      <c r="R20" s="275"/>
      <c r="S20" s="275"/>
    </row>
    <row r="21" spans="1:19" ht="17.25" customHeight="1" thickBot="1">
      <c r="A21" s="126" t="s">
        <v>388</v>
      </c>
      <c r="B21" s="127">
        <f t="shared" si="0"/>
        <v>14800</v>
      </c>
      <c r="C21" s="74">
        <f t="shared" si="1"/>
        <v>7.3241479299999995E-2</v>
      </c>
      <c r="D21" s="20">
        <f t="shared" si="2"/>
        <v>14920</v>
      </c>
      <c r="E21" s="21">
        <f t="shared" si="3"/>
        <v>8.1081081081081086E-3</v>
      </c>
      <c r="F21" s="22">
        <f t="shared" si="4"/>
        <v>1216.2162162162163</v>
      </c>
      <c r="G21" s="30">
        <f t="shared" si="5"/>
        <v>14630</v>
      </c>
      <c r="H21" s="21">
        <f t="shared" si="6"/>
        <v>-1.1486486486486487E-2</v>
      </c>
      <c r="I21" s="101">
        <f t="shared" si="7"/>
        <v>-1722.9729729729731</v>
      </c>
      <c r="J21" s="20">
        <f t="shared" si="8"/>
        <v>14550</v>
      </c>
      <c r="K21" s="21">
        <f t="shared" si="9"/>
        <v>-1.6891891891891893E-2</v>
      </c>
      <c r="L21" s="22">
        <f t="shared" si="10"/>
        <v>-2533.7837837837837</v>
      </c>
      <c r="M21" s="30">
        <f t="shared" si="11"/>
        <v>14740</v>
      </c>
      <c r="N21" s="21">
        <f t="shared" si="12"/>
        <v>-4.0540540540540543E-3</v>
      </c>
      <c r="O21" s="22">
        <f t="shared" si="13"/>
        <v>-608.10810810810813</v>
      </c>
      <c r="Q21" s="275"/>
      <c r="R21" s="275"/>
      <c r="S21" s="275"/>
    </row>
    <row r="22" spans="1:19" ht="17.25" customHeight="1" thickBot="1">
      <c r="A22" s="124" t="s">
        <v>389</v>
      </c>
      <c r="B22" s="128">
        <f t="shared" si="0"/>
        <v>13000</v>
      </c>
      <c r="C22" s="76">
        <f t="shared" si="1"/>
        <v>6.9078947399999993E-2</v>
      </c>
      <c r="D22" s="102">
        <f t="shared" si="2"/>
        <v>12780</v>
      </c>
      <c r="E22" s="103">
        <f t="shared" si="3"/>
        <v>-1.6923076923076923E-2</v>
      </c>
      <c r="F22" s="104">
        <f t="shared" si="4"/>
        <v>-2538.4615384615386</v>
      </c>
      <c r="G22" s="105">
        <f t="shared" si="5"/>
        <v>12640</v>
      </c>
      <c r="H22" s="103">
        <f t="shared" si="6"/>
        <v>-2.7692307692307693E-2</v>
      </c>
      <c r="I22" s="106">
        <f t="shared" si="7"/>
        <v>-4153.8461538461543</v>
      </c>
      <c r="J22" s="102">
        <f t="shared" si="8"/>
        <v>12500</v>
      </c>
      <c r="K22" s="103">
        <f t="shared" si="9"/>
        <v>-3.8461538461538464E-2</v>
      </c>
      <c r="L22" s="104">
        <f t="shared" si="10"/>
        <v>-5769.2307692307695</v>
      </c>
      <c r="M22" s="105">
        <f t="shared" si="11"/>
        <v>12440</v>
      </c>
      <c r="N22" s="103">
        <f t="shared" si="12"/>
        <v>-4.3076923076923075E-2</v>
      </c>
      <c r="O22" s="104">
        <f t="shared" si="13"/>
        <v>-6461.538461538461</v>
      </c>
      <c r="Q22" s="275"/>
      <c r="R22" s="275"/>
      <c r="S22" s="275"/>
    </row>
    <row r="23" spans="1:19" ht="17.25" customHeight="1" thickBot="1">
      <c r="A23" s="124" t="s">
        <v>390</v>
      </c>
      <c r="B23" s="125">
        <f t="shared" si="0"/>
        <v>5075</v>
      </c>
      <c r="C23" s="73">
        <f t="shared" si="1"/>
        <v>5.72916667E-2</v>
      </c>
      <c r="D23" s="15">
        <f t="shared" si="2"/>
        <v>4955</v>
      </c>
      <c r="E23" s="32">
        <f t="shared" si="3"/>
        <v>-2.3645320197044337E-2</v>
      </c>
      <c r="F23" s="18">
        <f t="shared" si="4"/>
        <v>-3546.7980295566504</v>
      </c>
      <c r="G23" s="31">
        <f t="shared" si="5"/>
        <v>4905</v>
      </c>
      <c r="H23" s="32">
        <f t="shared" si="6"/>
        <v>-3.3497536945812804E-2</v>
      </c>
      <c r="I23" s="97">
        <f t="shared" si="7"/>
        <v>-5024.6305418719203</v>
      </c>
      <c r="J23" s="15">
        <f t="shared" si="8"/>
        <v>4795</v>
      </c>
      <c r="K23" s="32">
        <f t="shared" si="9"/>
        <v>-5.5172413793103448E-2</v>
      </c>
      <c r="L23" s="18">
        <f t="shared" si="10"/>
        <v>-8275.8620689655163</v>
      </c>
      <c r="M23" s="31">
        <f t="shared" si="11"/>
        <v>4785</v>
      </c>
      <c r="N23" s="32">
        <f t="shared" si="12"/>
        <v>-5.7142857142857141E-2</v>
      </c>
      <c r="O23" s="18">
        <f t="shared" si="13"/>
        <v>-8571.4285714285706</v>
      </c>
      <c r="Q23" s="275"/>
      <c r="R23" s="275"/>
      <c r="S23" s="275"/>
    </row>
    <row r="24" spans="1:19" ht="17.25" customHeight="1" thickBot="1">
      <c r="A24" s="124" t="s">
        <v>391</v>
      </c>
      <c r="B24" s="125">
        <f t="shared" si="0"/>
        <v>8320</v>
      </c>
      <c r="C24" s="73">
        <f t="shared" si="1"/>
        <v>5.3831538900000003E-2</v>
      </c>
      <c r="D24" s="15">
        <f t="shared" si="2"/>
        <v>7945</v>
      </c>
      <c r="E24" s="32">
        <f t="shared" si="3"/>
        <v>-4.5072115384615384E-2</v>
      </c>
      <c r="F24" s="18">
        <f t="shared" si="4"/>
        <v>-6760.8173076923076</v>
      </c>
      <c r="G24" s="31">
        <f t="shared" si="5"/>
        <v>7830</v>
      </c>
      <c r="H24" s="32">
        <f t="shared" si="6"/>
        <v>-5.8894230769230768E-2</v>
      </c>
      <c r="I24" s="97">
        <f t="shared" si="7"/>
        <v>-8834.1346153846152</v>
      </c>
      <c r="J24" s="15">
        <f t="shared" si="8"/>
        <v>7720</v>
      </c>
      <c r="K24" s="32">
        <f t="shared" si="9"/>
        <v>-7.2115384615384609E-2</v>
      </c>
      <c r="L24" s="18">
        <f t="shared" si="10"/>
        <v>-10817.307692307691</v>
      </c>
      <c r="M24" s="31">
        <f t="shared" si="11"/>
        <v>7760</v>
      </c>
      <c r="N24" s="32">
        <f t="shared" si="12"/>
        <v>-6.7307692307692304E-2</v>
      </c>
      <c r="O24" s="18">
        <f t="shared" si="13"/>
        <v>-10096.153846153846</v>
      </c>
      <c r="Q24" s="275"/>
      <c r="R24" s="275"/>
      <c r="S24" s="275"/>
    </row>
    <row r="25" spans="1:19" ht="17.25" customHeight="1" thickBot="1">
      <c r="A25" s="124" t="s">
        <v>392</v>
      </c>
      <c r="B25" s="125">
        <f t="shared" si="0"/>
        <v>4381000</v>
      </c>
      <c r="C25" s="73">
        <f t="shared" si="1"/>
        <v>5.0851523099999997E-2</v>
      </c>
      <c r="D25" s="15">
        <f t="shared" si="2"/>
        <v>4855000</v>
      </c>
      <c r="E25" s="32">
        <f t="shared" si="3"/>
        <v>0.1081944761469984</v>
      </c>
      <c r="F25" s="18">
        <f t="shared" si="4"/>
        <v>16229.17142204976</v>
      </c>
      <c r="G25" s="31">
        <f t="shared" si="5"/>
        <v>4784000</v>
      </c>
      <c r="H25" s="32">
        <f t="shared" si="6"/>
        <v>9.1988130563798218E-2</v>
      </c>
      <c r="I25" s="97">
        <f t="shared" si="7"/>
        <v>13798.219584569733</v>
      </c>
      <c r="J25" s="15">
        <f t="shared" si="8"/>
        <v>4767000</v>
      </c>
      <c r="K25" s="32">
        <f t="shared" si="9"/>
        <v>8.8107737959370006E-2</v>
      </c>
      <c r="L25" s="18">
        <f t="shared" si="10"/>
        <v>13216.1606939055</v>
      </c>
      <c r="M25" s="31">
        <f t="shared" si="11"/>
        <v>4731000</v>
      </c>
      <c r="N25" s="32">
        <f t="shared" si="12"/>
        <v>7.9890435973522023E-2</v>
      </c>
      <c r="O25" s="18">
        <f t="shared" si="13"/>
        <v>11983.565396028303</v>
      </c>
      <c r="Q25" s="33"/>
      <c r="R25" s="33"/>
    </row>
    <row r="26" spans="1:19" ht="17.25" customHeight="1" thickBot="1">
      <c r="A26" s="129" t="s">
        <v>359</v>
      </c>
      <c r="B26" s="130">
        <f t="shared" si="0"/>
        <v>3045</v>
      </c>
      <c r="C26" s="75">
        <f t="shared" si="1"/>
        <v>0.05</v>
      </c>
      <c r="D26" s="24">
        <f t="shared" si="2"/>
        <v>2940</v>
      </c>
      <c r="E26" s="25">
        <f t="shared" si="3"/>
        <v>-3.4482758620689655E-2</v>
      </c>
      <c r="F26" s="100">
        <f t="shared" si="4"/>
        <v>-5172.4137931034484</v>
      </c>
      <c r="G26" s="98">
        <f t="shared" si="5"/>
        <v>2820</v>
      </c>
      <c r="H26" s="25">
        <f t="shared" si="6"/>
        <v>-7.3891625615763554E-2</v>
      </c>
      <c r="I26" s="99">
        <f t="shared" si="7"/>
        <v>-11083.743842364533</v>
      </c>
      <c r="J26" s="24">
        <f t="shared" si="8"/>
        <v>2770</v>
      </c>
      <c r="K26" s="25">
        <f t="shared" si="9"/>
        <v>-9.0311986863711002E-2</v>
      </c>
      <c r="L26" s="100">
        <f t="shared" si="10"/>
        <v>-13546.79802955665</v>
      </c>
      <c r="M26" s="98">
        <f t="shared" si="11"/>
        <v>2785</v>
      </c>
      <c r="N26" s="25">
        <f t="shared" si="12"/>
        <v>-8.5385878489326772E-2</v>
      </c>
      <c r="O26" s="100">
        <f t="shared" si="13"/>
        <v>-12807.881773399016</v>
      </c>
      <c r="Q26" s="284"/>
      <c r="R26" s="285"/>
      <c r="S26" s="286"/>
    </row>
    <row r="27" spans="1:19" ht="17.25" customHeight="1">
      <c r="A27" s="122" t="s">
        <v>393</v>
      </c>
      <c r="B27" s="123">
        <f t="shared" si="0"/>
        <v>2795</v>
      </c>
      <c r="C27" s="72">
        <f t="shared" si="1"/>
        <v>3.9033457200000003E-2</v>
      </c>
      <c r="D27" s="13">
        <f t="shared" si="2"/>
        <v>2705</v>
      </c>
      <c r="E27" s="14">
        <f t="shared" si="3"/>
        <v>-3.2200357781753133E-2</v>
      </c>
      <c r="F27" s="16">
        <f t="shared" si="4"/>
        <v>-4830.0536672629696</v>
      </c>
      <c r="G27" s="29">
        <f t="shared" si="5"/>
        <v>2745</v>
      </c>
      <c r="H27" s="14">
        <f t="shared" si="6"/>
        <v>-1.7889087656529516E-2</v>
      </c>
      <c r="I27" s="96">
        <f t="shared" si="7"/>
        <v>-2683.3631484794273</v>
      </c>
      <c r="J27" s="13">
        <f t="shared" si="8"/>
        <v>2685</v>
      </c>
      <c r="K27" s="14">
        <f t="shared" si="9"/>
        <v>-3.9355992844364938E-2</v>
      </c>
      <c r="L27" s="16">
        <f t="shared" si="10"/>
        <v>-5903.3989266547405</v>
      </c>
      <c r="M27" s="29">
        <f t="shared" si="11"/>
        <v>2760</v>
      </c>
      <c r="N27" s="14">
        <f t="shared" si="12"/>
        <v>-1.2522361359570662E-2</v>
      </c>
      <c r="O27" s="16">
        <f t="shared" si="13"/>
        <v>-1878.3542039355993</v>
      </c>
      <c r="Q27" s="287"/>
      <c r="R27" s="288"/>
      <c r="S27" s="289"/>
    </row>
    <row r="28" spans="1:19" ht="17.25" customHeight="1" thickBot="1">
      <c r="A28" s="124" t="s">
        <v>394</v>
      </c>
      <c r="B28" s="125">
        <f t="shared" si="0"/>
        <v>9800</v>
      </c>
      <c r="C28" s="73">
        <f t="shared" si="1"/>
        <v>3.9787798399999998E-2</v>
      </c>
      <c r="D28" s="15">
        <f t="shared" si="2"/>
        <v>9235</v>
      </c>
      <c r="E28" s="32">
        <f t="shared" si="3"/>
        <v>-5.7653061224489793E-2</v>
      </c>
      <c r="F28" s="18">
        <f t="shared" si="4"/>
        <v>-8647.9591836734689</v>
      </c>
      <c r="G28" s="31">
        <f t="shared" si="5"/>
        <v>9060</v>
      </c>
      <c r="H28" s="32">
        <f t="shared" si="6"/>
        <v>-7.5510204081632656E-2</v>
      </c>
      <c r="I28" s="97">
        <f t="shared" si="7"/>
        <v>-11326.530612244898</v>
      </c>
      <c r="J28" s="15">
        <f t="shared" si="8"/>
        <v>8910</v>
      </c>
      <c r="K28" s="32">
        <f t="shared" si="9"/>
        <v>-9.0816326530612251E-2</v>
      </c>
      <c r="L28" s="18">
        <f t="shared" si="10"/>
        <v>-13622.448979591838</v>
      </c>
      <c r="M28" s="31">
        <f t="shared" si="11"/>
        <v>8955</v>
      </c>
      <c r="N28" s="32">
        <f t="shared" si="12"/>
        <v>-8.6224489795918374E-2</v>
      </c>
      <c r="O28" s="18">
        <f t="shared" si="13"/>
        <v>-12933.673469387757</v>
      </c>
      <c r="Q28" s="290"/>
      <c r="R28" s="291"/>
      <c r="S28" s="292"/>
    </row>
    <row r="29" spans="1:19" ht="17.25" customHeight="1" thickBot="1">
      <c r="A29" s="124" t="s">
        <v>395</v>
      </c>
      <c r="B29" s="125">
        <f t="shared" si="0"/>
        <v>722</v>
      </c>
      <c r="C29" s="73">
        <f t="shared" si="1"/>
        <v>4.33526012E-2</v>
      </c>
      <c r="D29" s="15">
        <f t="shared" si="2"/>
        <v>686</v>
      </c>
      <c r="E29" s="32">
        <f t="shared" si="3"/>
        <v>-4.9861495844875349E-2</v>
      </c>
      <c r="F29" s="18">
        <f t="shared" si="4"/>
        <v>-7479.2243767313021</v>
      </c>
      <c r="G29" s="31">
        <f t="shared" si="5"/>
        <v>682</v>
      </c>
      <c r="H29" s="32">
        <f t="shared" si="6"/>
        <v>-5.5401662049861494E-2</v>
      </c>
      <c r="I29" s="97">
        <f t="shared" si="7"/>
        <v>-8310.2493074792237</v>
      </c>
      <c r="J29" s="15">
        <f t="shared" si="8"/>
        <v>670</v>
      </c>
      <c r="K29" s="32">
        <f t="shared" si="9"/>
        <v>-7.2022160664819951E-2</v>
      </c>
      <c r="L29" s="18">
        <f t="shared" si="10"/>
        <v>-10803.324099722993</v>
      </c>
      <c r="M29" s="31">
        <f t="shared" si="11"/>
        <v>671</v>
      </c>
      <c r="N29" s="32">
        <f t="shared" si="12"/>
        <v>-7.0637119113573413E-2</v>
      </c>
      <c r="O29" s="18">
        <f t="shared" si="13"/>
        <v>-10595.567867036012</v>
      </c>
      <c r="Q29" s="275"/>
      <c r="R29" s="275"/>
      <c r="S29" s="275"/>
    </row>
    <row r="30" spans="1:19" ht="17.25" customHeight="1" thickBot="1">
      <c r="A30" s="124" t="s">
        <v>396</v>
      </c>
      <c r="B30" s="125">
        <f t="shared" si="0"/>
        <v>1905</v>
      </c>
      <c r="C30" s="73">
        <f t="shared" si="1"/>
        <v>4.9586776899999997E-2</v>
      </c>
      <c r="D30" s="15">
        <f t="shared" si="2"/>
        <v>2185</v>
      </c>
      <c r="E30" s="32">
        <f t="shared" si="3"/>
        <v>0.14698162729658792</v>
      </c>
      <c r="F30" s="18">
        <f t="shared" si="4"/>
        <v>22047.244094488189</v>
      </c>
      <c r="G30" s="31">
        <f t="shared" si="5"/>
        <v>2205</v>
      </c>
      <c r="H30" s="32">
        <f t="shared" si="6"/>
        <v>0.15748031496062992</v>
      </c>
      <c r="I30" s="97">
        <f t="shared" si="7"/>
        <v>23622.047244094487</v>
      </c>
      <c r="J30" s="15">
        <f t="shared" si="8"/>
        <v>2220</v>
      </c>
      <c r="K30" s="32">
        <f t="shared" si="9"/>
        <v>0.16535433070866143</v>
      </c>
      <c r="L30" s="18">
        <f t="shared" si="10"/>
        <v>24803.149606299216</v>
      </c>
      <c r="M30" s="31">
        <f t="shared" si="11"/>
        <v>2185</v>
      </c>
      <c r="N30" s="32">
        <f t="shared" si="12"/>
        <v>0.14698162729658792</v>
      </c>
      <c r="O30" s="18">
        <f t="shared" si="13"/>
        <v>22047.244094488189</v>
      </c>
      <c r="Q30" s="270"/>
      <c r="R30" s="270"/>
      <c r="S30" s="270"/>
    </row>
    <row r="31" spans="1:19" ht="17.25" customHeight="1" thickBot="1">
      <c r="A31" s="126" t="s">
        <v>397</v>
      </c>
      <c r="B31" s="127">
        <f t="shared" si="0"/>
        <v>3805</v>
      </c>
      <c r="C31" s="74">
        <f t="shared" si="1"/>
        <v>4.8209366400000002E-2</v>
      </c>
      <c r="D31" s="20">
        <f t="shared" si="2"/>
        <v>3725</v>
      </c>
      <c r="E31" s="21">
        <f t="shared" si="3"/>
        <v>-2.1024967148488831E-2</v>
      </c>
      <c r="F31" s="22">
        <f t="shared" si="4"/>
        <v>-3153.7450722733247</v>
      </c>
      <c r="G31" s="30">
        <f t="shared" si="5"/>
        <v>3710</v>
      </c>
      <c r="H31" s="21">
        <f t="shared" si="6"/>
        <v>-2.4967148488830485E-2</v>
      </c>
      <c r="I31" s="101">
        <f t="shared" si="7"/>
        <v>-3745.0722733245725</v>
      </c>
      <c r="J31" s="20">
        <f t="shared" si="8"/>
        <v>3635</v>
      </c>
      <c r="K31" s="21">
        <f t="shared" si="9"/>
        <v>-4.4678055190538767E-2</v>
      </c>
      <c r="L31" s="22">
        <f t="shared" si="10"/>
        <v>-6701.7082785808152</v>
      </c>
      <c r="M31" s="30">
        <f t="shared" si="11"/>
        <v>3620</v>
      </c>
      <c r="N31" s="21">
        <f t="shared" si="12"/>
        <v>-4.862023653088042E-2</v>
      </c>
      <c r="O31" s="22">
        <f t="shared" si="13"/>
        <v>-7293.0354796320635</v>
      </c>
      <c r="Q31" s="270"/>
      <c r="R31" s="270"/>
      <c r="S31" s="270"/>
    </row>
    <row r="32" spans="1:19" ht="17.25" customHeight="1" thickBot="1">
      <c r="A32" s="124" t="s">
        <v>398</v>
      </c>
      <c r="B32" s="128">
        <f t="shared" si="0"/>
        <v>746</v>
      </c>
      <c r="C32" s="76">
        <f t="shared" si="1"/>
        <v>4.4817927200000003E-2</v>
      </c>
      <c r="D32" s="102">
        <f t="shared" si="2"/>
        <v>723</v>
      </c>
      <c r="E32" s="103">
        <f t="shared" si="3"/>
        <v>-3.0831099195710455E-2</v>
      </c>
      <c r="F32" s="104">
        <f t="shared" si="4"/>
        <v>-4624.6648793565682</v>
      </c>
      <c r="G32" s="105">
        <f t="shared" si="5"/>
        <v>718</v>
      </c>
      <c r="H32" s="103">
        <f t="shared" si="6"/>
        <v>-3.7533512064343161E-2</v>
      </c>
      <c r="I32" s="106">
        <f t="shared" si="7"/>
        <v>-5630.0268096514737</v>
      </c>
      <c r="J32" s="102">
        <f t="shared" si="8"/>
        <v>713</v>
      </c>
      <c r="K32" s="103">
        <f t="shared" si="9"/>
        <v>-4.4235924932975873E-2</v>
      </c>
      <c r="L32" s="104">
        <f t="shared" si="10"/>
        <v>-6635.3887399463811</v>
      </c>
      <c r="M32" s="105">
        <f t="shared" si="11"/>
        <v>715</v>
      </c>
      <c r="N32" s="103">
        <f t="shared" si="12"/>
        <v>-4.1554959785522788E-2</v>
      </c>
      <c r="O32" s="104">
        <f t="shared" si="13"/>
        <v>-6233.2439678284181</v>
      </c>
      <c r="Q32" s="275"/>
      <c r="R32" s="275"/>
      <c r="S32" s="275"/>
    </row>
    <row r="33" spans="1:19" ht="17.25" customHeight="1" thickBot="1">
      <c r="A33" s="124" t="s">
        <v>399</v>
      </c>
      <c r="B33" s="125">
        <f t="shared" si="0"/>
        <v>857</v>
      </c>
      <c r="C33" s="73">
        <f t="shared" si="1"/>
        <v>3.8787878800000002E-2</v>
      </c>
      <c r="D33" s="15">
        <f t="shared" si="2"/>
        <v>679</v>
      </c>
      <c r="E33" s="32">
        <f t="shared" si="3"/>
        <v>-0.20770128354725786</v>
      </c>
      <c r="F33" s="18">
        <f t="shared" si="4"/>
        <v>-31155.19253208868</v>
      </c>
      <c r="G33" s="31">
        <f t="shared" si="5"/>
        <v>602</v>
      </c>
      <c r="H33" s="32">
        <f t="shared" si="6"/>
        <v>-0.29754959159859978</v>
      </c>
      <c r="I33" s="97">
        <f t="shared" si="7"/>
        <v>-44632.43873978997</v>
      </c>
      <c r="J33" s="15">
        <f t="shared" si="8"/>
        <v>566</v>
      </c>
      <c r="K33" s="32">
        <f t="shared" si="9"/>
        <v>-0.33955659276546091</v>
      </c>
      <c r="L33" s="18">
        <f t="shared" si="10"/>
        <v>-50933.488914819136</v>
      </c>
      <c r="M33" s="31">
        <f t="shared" si="11"/>
        <v>594</v>
      </c>
      <c r="N33" s="32">
        <f t="shared" si="12"/>
        <v>-0.30688448074679114</v>
      </c>
      <c r="O33" s="18">
        <f t="shared" si="13"/>
        <v>-46032.67211201867</v>
      </c>
      <c r="Q33" s="275"/>
      <c r="R33" s="275"/>
      <c r="S33" s="275"/>
    </row>
    <row r="34" spans="1:19" ht="17.25" customHeight="1" thickBot="1">
      <c r="A34" s="124" t="s">
        <v>400</v>
      </c>
      <c r="B34" s="125">
        <f t="shared" si="0"/>
        <v>617</v>
      </c>
      <c r="C34" s="73">
        <f t="shared" si="1"/>
        <v>2.6622296199999999E-2</v>
      </c>
      <c r="D34" s="15">
        <f t="shared" si="2"/>
        <v>601</v>
      </c>
      <c r="E34" s="32">
        <f t="shared" si="3"/>
        <v>-2.5931928687196109E-2</v>
      </c>
      <c r="F34" s="18">
        <f t="shared" si="4"/>
        <v>-3889.7893030794162</v>
      </c>
      <c r="G34" s="31">
        <f t="shared" si="5"/>
        <v>602</v>
      </c>
      <c r="H34" s="32">
        <f t="shared" si="6"/>
        <v>-2.4311183144246355E-2</v>
      </c>
      <c r="I34" s="97">
        <f t="shared" si="7"/>
        <v>-3646.6774716369532</v>
      </c>
      <c r="J34" s="15">
        <f t="shared" si="8"/>
        <v>592</v>
      </c>
      <c r="K34" s="32">
        <f t="shared" si="9"/>
        <v>-4.0518638573743923E-2</v>
      </c>
      <c r="L34" s="18">
        <f t="shared" si="10"/>
        <v>-6077.7957860615888</v>
      </c>
      <c r="M34" s="31">
        <f t="shared" si="11"/>
        <v>593</v>
      </c>
      <c r="N34" s="32">
        <f t="shared" si="12"/>
        <v>-3.8897893030794169E-2</v>
      </c>
      <c r="O34" s="18">
        <f t="shared" si="13"/>
        <v>-5834.683954619125</v>
      </c>
      <c r="Q34" s="275"/>
      <c r="R34" s="275"/>
      <c r="S34" s="275"/>
    </row>
    <row r="35" spans="1:19" ht="17.25" customHeight="1">
      <c r="A35" s="124" t="s">
        <v>401</v>
      </c>
      <c r="B35" s="125">
        <f t="shared" si="0"/>
        <v>1755</v>
      </c>
      <c r="C35" s="73">
        <f t="shared" si="1"/>
        <v>3.8461538500000003E-2</v>
      </c>
      <c r="D35" s="15">
        <f t="shared" si="2"/>
        <v>1730</v>
      </c>
      <c r="E35" s="32">
        <f t="shared" si="3"/>
        <v>-1.4245014245014245E-2</v>
      </c>
      <c r="F35" s="18">
        <f t="shared" si="4"/>
        <v>-2136.7521367521367</v>
      </c>
      <c r="G35" s="31">
        <f t="shared" si="5"/>
        <v>1710</v>
      </c>
      <c r="H35" s="32">
        <f t="shared" si="6"/>
        <v>-2.564102564102564E-2</v>
      </c>
      <c r="I35" s="97">
        <f t="shared" si="7"/>
        <v>-3846.1538461538462</v>
      </c>
      <c r="J35" s="15">
        <f t="shared" si="8"/>
        <v>1690</v>
      </c>
      <c r="K35" s="32">
        <f t="shared" si="9"/>
        <v>-3.7037037037037035E-2</v>
      </c>
      <c r="L35" s="18">
        <f t="shared" si="10"/>
        <v>-5555.5555555555557</v>
      </c>
      <c r="M35" s="31">
        <f t="shared" si="11"/>
        <v>1705</v>
      </c>
      <c r="N35" s="32">
        <f t="shared" si="12"/>
        <v>-2.8490028490028491E-2</v>
      </c>
      <c r="O35" s="18">
        <f t="shared" si="13"/>
        <v>-4273.5042735042734</v>
      </c>
      <c r="Q35" s="297"/>
      <c r="R35" s="298"/>
      <c r="S35" s="299"/>
    </row>
    <row r="36" spans="1:19" ht="17.25" customHeight="1" thickBot="1">
      <c r="A36" s="129" t="s">
        <v>402</v>
      </c>
      <c r="B36" s="130">
        <f t="shared" si="0"/>
        <v>282</v>
      </c>
      <c r="C36" s="75">
        <f t="shared" si="1"/>
        <v>4.0590405900000001E-2</v>
      </c>
      <c r="D36" s="24">
        <f t="shared" si="2"/>
        <v>275</v>
      </c>
      <c r="E36" s="25">
        <f t="shared" si="3"/>
        <v>-2.4822695035460994E-2</v>
      </c>
      <c r="F36" s="100">
        <f t="shared" si="4"/>
        <v>-3723.4042553191489</v>
      </c>
      <c r="G36" s="98">
        <f t="shared" si="5"/>
        <v>279</v>
      </c>
      <c r="H36" s="25">
        <f t="shared" si="6"/>
        <v>-1.0638297872340425E-2</v>
      </c>
      <c r="I36" s="99">
        <f t="shared" si="7"/>
        <v>-1595.7446808510638</v>
      </c>
      <c r="J36" s="24">
        <f t="shared" si="8"/>
        <v>276</v>
      </c>
      <c r="K36" s="25">
        <f t="shared" si="9"/>
        <v>-2.1276595744680851E-2</v>
      </c>
      <c r="L36" s="100">
        <f t="shared" si="10"/>
        <v>-3191.4893617021276</v>
      </c>
      <c r="M36" s="98">
        <f t="shared" si="11"/>
        <v>276</v>
      </c>
      <c r="N36" s="25">
        <f t="shared" si="12"/>
        <v>-2.1276595744680851E-2</v>
      </c>
      <c r="O36" s="100">
        <f t="shared" si="13"/>
        <v>-3191.4893617021276</v>
      </c>
      <c r="Q36" s="300"/>
      <c r="R36" s="301"/>
      <c r="S36" s="302"/>
    </row>
    <row r="37" spans="1:19" ht="17.25" customHeight="1" thickBot="1">
      <c r="A37" s="131" t="s">
        <v>42</v>
      </c>
      <c r="B37" s="308">
        <v>150000</v>
      </c>
      <c r="C37" s="309"/>
      <c r="D37" s="26" t="s">
        <v>43</v>
      </c>
      <c r="E37" s="27">
        <f>IF(COUNT(E17:E36), SUM(E17:E36) / COUNT(E17:E36), 0)</f>
        <v>-2.7818635782927797E-2</v>
      </c>
      <c r="F37" s="28">
        <f>SUM(F17:F36)</f>
        <v>-83455.90734878341</v>
      </c>
      <c r="G37" s="26" t="s">
        <v>43</v>
      </c>
      <c r="H37" s="27">
        <f>IF(COUNT(H17:H36), SUM(H17:H36) / COUNT(H17:H36), 0)</f>
        <v>-3.9441917822525444E-2</v>
      </c>
      <c r="I37" s="28">
        <f>SUM(I17:I36)</f>
        <v>-118325.75346757633</v>
      </c>
      <c r="J37" s="26" t="s">
        <v>43</v>
      </c>
      <c r="K37" s="27">
        <f>IF(COUNT(K17:K36), SUM(K17:K36) / COUNT(K17:K36), 0)</f>
        <v>-5.3167890822489551E-2</v>
      </c>
      <c r="L37" s="28">
        <f>SUM(L17:L36)</f>
        <v>-159503.67246746868</v>
      </c>
      <c r="M37" s="26" t="s">
        <v>43</v>
      </c>
      <c r="N37" s="27">
        <f>IF(COUNT(N17:N36), SUM(N17:N36) / COUNT(N17:N36), 0)</f>
        <v>-5.0478006659537146E-2</v>
      </c>
      <c r="O37" s="28">
        <f>SUM(O17:O36)</f>
        <v>-151434.01997861144</v>
      </c>
      <c r="Q37" s="303"/>
      <c r="R37" s="304"/>
      <c r="S37" s="305"/>
    </row>
    <row r="38" spans="1:19" ht="17.25" customHeight="1"/>
    <row r="39" spans="1:19" ht="17.25" customHeight="1" thickBot="1"/>
    <row r="40" spans="1:19" ht="17.25" customHeight="1" thickBot="1">
      <c r="A40" s="249" t="s">
        <v>44</v>
      </c>
      <c r="B40" s="250"/>
      <c r="C40" s="250"/>
      <c r="D40" s="250"/>
      <c r="E40" s="250"/>
      <c r="F40" s="250"/>
      <c r="G40" s="250"/>
      <c r="H40" s="250"/>
      <c r="I40" s="250"/>
      <c r="J40" s="250"/>
      <c r="K40" s="250"/>
      <c r="L40" s="250"/>
      <c r="M40" s="250"/>
      <c r="N40" s="250"/>
      <c r="O40" s="251"/>
      <c r="Q40" s="270"/>
      <c r="R40" s="270"/>
      <c r="S40" s="270"/>
    </row>
    <row r="41" spans="1:19" ht="17.25" customHeight="1" thickBot="1">
      <c r="A41" s="171" t="s">
        <v>298</v>
      </c>
      <c r="B41" s="249" t="s">
        <v>49</v>
      </c>
      <c r="C41" s="251"/>
      <c r="D41" s="249" t="s">
        <v>58</v>
      </c>
      <c r="E41" s="250"/>
      <c r="F41" s="251"/>
      <c r="G41" s="276">
        <f>_xlfn.IFNA(VLOOKUP(B41, 현재가테이블!$B$2:$D$200, 2, FALSE), "-")</f>
        <v>60874000</v>
      </c>
      <c r="H41" s="277"/>
      <c r="I41" s="278"/>
      <c r="J41" s="249" t="s">
        <v>59</v>
      </c>
      <c r="K41" s="250"/>
      <c r="L41" s="251"/>
      <c r="M41" s="279">
        <f>_xlfn.IFNA(VLOOKUP(B41, 현재가테이블!$B$2:$D$200, 3, FALSE), "-")</f>
        <v>-1.4936000099999999E-2</v>
      </c>
      <c r="N41" s="280"/>
      <c r="O41" s="281"/>
      <c r="Q41" s="270"/>
      <c r="R41" s="270"/>
      <c r="S41" s="270"/>
    </row>
    <row r="42" spans="1:19" ht="17.25" customHeight="1" thickBot="1">
      <c r="A42" s="310" t="s">
        <v>55</v>
      </c>
      <c r="B42" s="312" t="str">
        <f>TEXT($G$1, "[$-ko-KR]yyyy-mm-dd(ddd) ") &amp; "오전 00:00"</f>
        <v>2021-05-09(일) 오전 00:00</v>
      </c>
      <c r="C42" s="313"/>
      <c r="D42" s="272" t="str">
        <f>TEXT($G$1, "[$-ko-KR]yyyy-mm-dd(ddd) ") &amp; "오후 14:00"</f>
        <v>2021-05-09(일) 오후 14:00</v>
      </c>
      <c r="E42" s="273"/>
      <c r="F42" s="274"/>
      <c r="G42" s="272" t="str">
        <f>TEXT($G$1, "[$-ko-KR]yyyy-mm-dd(ddd) ") &amp; "오후 19:00"</f>
        <v>2021-05-09(일) 오후 19:00</v>
      </c>
      <c r="H42" s="273"/>
      <c r="I42" s="274"/>
      <c r="J42" s="272" t="str">
        <f>TEXT($G$1, "[$-ko-KR]yyyy-mm-dd(ddd) ") &amp; "오후 21:00"</f>
        <v>2021-05-09(일) 오후 21:00</v>
      </c>
      <c r="K42" s="273"/>
      <c r="L42" s="274"/>
      <c r="M42" s="272" t="str">
        <f>TEXT($G$1+1, "[$-ko-KR]yyyy-mm-dd(ddd) ") &amp; "오전 00:00"</f>
        <v>2021-05-10(월) 오전 00:00</v>
      </c>
      <c r="N42" s="273"/>
      <c r="O42" s="274"/>
      <c r="Q42" s="270"/>
      <c r="R42" s="270"/>
      <c r="S42" s="270"/>
    </row>
    <row r="43" spans="1:19" ht="17.25" customHeight="1" thickBot="1">
      <c r="A43" s="311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72" t="s">
        <v>58</v>
      </c>
      <c r="H43" s="173" t="s">
        <v>299</v>
      </c>
      <c r="I43" s="17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75"/>
      <c r="R43" s="275"/>
      <c r="S43" s="275"/>
    </row>
    <row r="44" spans="1:19" ht="17.25" customHeight="1" thickBot="1">
      <c r="A44" s="122" t="s">
        <v>154</v>
      </c>
      <c r="B44" s="123">
        <v>21.5</v>
      </c>
      <c r="C44" s="72">
        <v>1.8957346E-2</v>
      </c>
      <c r="D44" s="13">
        <v>20.5</v>
      </c>
      <c r="E44" s="14">
        <f>IF(ISNUMBER(D44), (D44 - $B44) / $B44, "")</f>
        <v>-4.6511627906976744E-2</v>
      </c>
      <c r="F44" s="16">
        <f>IF(ISNUMBER(D44), $B64 * E44, "")</f>
        <v>-6976.7441860465115</v>
      </c>
      <c r="G44" s="29">
        <v>20.399999999999999</v>
      </c>
      <c r="H44" s="14">
        <f>IF(ISNUMBER(G44), (G44 - $B44) / $B44, "")</f>
        <v>-5.1162790697674487E-2</v>
      </c>
      <c r="I44" s="96">
        <f>IF(ISNUMBER(G44), $B64 * H44, "")</f>
        <v>-7674.4186046511732</v>
      </c>
      <c r="J44" s="13">
        <v>20</v>
      </c>
      <c r="K44" s="14">
        <f>IF(ISNUMBER(J44), (J44 - $B44) / $B44, "")</f>
        <v>-6.9767441860465115E-2</v>
      </c>
      <c r="L44" s="16">
        <f>IF(ISNUMBER(J44), $B64 * K44, "")</f>
        <v>-10465.116279069767</v>
      </c>
      <c r="M44" s="29">
        <v>20.100000000000001</v>
      </c>
      <c r="N44" s="14">
        <f>IF(ISNUMBER(M44), (M44 - $B44) / $B44, "")</f>
        <v>-6.5116279069767372E-2</v>
      </c>
      <c r="O44" s="16">
        <f>IF(ISNUMBER(M44), $B64 * N44, "")</f>
        <v>-9767.4418604651055</v>
      </c>
      <c r="Q44" s="270"/>
      <c r="R44" s="270"/>
      <c r="S44" s="270"/>
    </row>
    <row r="45" spans="1:19" ht="17.25" customHeight="1" thickBot="1">
      <c r="A45" s="124" t="s">
        <v>172</v>
      </c>
      <c r="B45" s="125">
        <v>25.1</v>
      </c>
      <c r="C45" s="73">
        <v>1.20967742E-2</v>
      </c>
      <c r="D45" s="15">
        <v>23.6</v>
      </c>
      <c r="E45" s="32">
        <f t="shared" ref="E45:E48" si="14">IF(ISNUMBER(D45), (D45 - $B45) / $B45, "")</f>
        <v>-5.97609561752988E-2</v>
      </c>
      <c r="F45" s="18">
        <f>IF(ISNUMBER(D45), $B64 * E45, "")</f>
        <v>-8964.1434262948205</v>
      </c>
      <c r="G45" s="31">
        <v>23.5</v>
      </c>
      <c r="H45" s="32">
        <f t="shared" ref="H45:H48" si="15">IF(ISNUMBER(G45), (G45 - $B45) / $B45, "")</f>
        <v>-6.374501992031878E-2</v>
      </c>
      <c r="I45" s="97">
        <f>IF(ISNUMBER(G45), $B64 * H45, "")</f>
        <v>-9561.7529880478178</v>
      </c>
      <c r="J45" s="15">
        <v>22.8</v>
      </c>
      <c r="K45" s="32">
        <f t="shared" ref="K45:K48" si="16">IF(ISNUMBER(J45), (J45 - $B45) / $B45, "")</f>
        <v>-9.1633466135458197E-2</v>
      </c>
      <c r="L45" s="18">
        <f>IF(ISNUMBER(J45), $B64 * K45, "")</f>
        <v>-13745.019920318729</v>
      </c>
      <c r="M45" s="31">
        <v>23.1</v>
      </c>
      <c r="N45" s="32">
        <f t="shared" ref="N45:N48" si="17">IF(ISNUMBER(M45), (M45 - $B45) / $B45, "")</f>
        <v>-7.9681274900398405E-2</v>
      </c>
      <c r="O45" s="18">
        <f>IF(ISNUMBER(M45), $B64 * N45, "")</f>
        <v>-11952.191235059761</v>
      </c>
      <c r="Q45" s="270"/>
      <c r="R45" s="270"/>
      <c r="S45" s="270"/>
    </row>
    <row r="46" spans="1:19" ht="17.25" customHeight="1" thickBot="1">
      <c r="A46" s="124" t="s">
        <v>186</v>
      </c>
      <c r="B46" s="125">
        <v>25.2</v>
      </c>
      <c r="C46" s="73">
        <v>8.0000000000000002E-3</v>
      </c>
      <c r="D46" s="15">
        <v>24.6</v>
      </c>
      <c r="E46" s="32">
        <f t="shared" si="14"/>
        <v>-2.3809523809523725E-2</v>
      </c>
      <c r="F46" s="18">
        <f>IF(ISNUMBER(D46), $B64 * E46, "")</f>
        <v>-3571.4285714285588</v>
      </c>
      <c r="G46" s="31">
        <v>24.1</v>
      </c>
      <c r="H46" s="32">
        <f t="shared" si="15"/>
        <v>-4.3650793650793565E-2</v>
      </c>
      <c r="I46" s="97">
        <f>IF(ISNUMBER(G46), $B64 * H46, "")</f>
        <v>-6547.619047619035</v>
      </c>
      <c r="J46" s="15">
        <v>23.7</v>
      </c>
      <c r="K46" s="32">
        <f t="shared" si="16"/>
        <v>-5.9523809523809527E-2</v>
      </c>
      <c r="L46" s="18">
        <f>IF(ISNUMBER(J46), $B64 * K46, "")</f>
        <v>-8928.5714285714294</v>
      </c>
      <c r="M46" s="31">
        <v>23.6</v>
      </c>
      <c r="N46" s="32">
        <f t="shared" si="17"/>
        <v>-6.3492063492063405E-2</v>
      </c>
      <c r="O46" s="18">
        <f>IF(ISNUMBER(M46), $B64 * N46, "")</f>
        <v>-9523.8095238095102</v>
      </c>
      <c r="Q46" s="275"/>
      <c r="R46" s="275"/>
      <c r="S46" s="275"/>
    </row>
    <row r="47" spans="1:19" ht="17.25" customHeight="1" thickBot="1">
      <c r="A47" s="124" t="s">
        <v>126</v>
      </c>
      <c r="B47" s="125">
        <v>60.6</v>
      </c>
      <c r="C47" s="73">
        <v>3.3112583000000002E-3</v>
      </c>
      <c r="D47" s="15">
        <v>59.5</v>
      </c>
      <c r="E47" s="32">
        <f t="shared" si="14"/>
        <v>-1.8151815181518174E-2</v>
      </c>
      <c r="F47" s="18">
        <f>IF(ISNUMBER(D47), $B64 * E47, "")</f>
        <v>-2722.7722772277261</v>
      </c>
      <c r="G47" s="31">
        <v>58.1</v>
      </c>
      <c r="H47" s="32">
        <f t="shared" si="15"/>
        <v>-4.1254125412541254E-2</v>
      </c>
      <c r="I47" s="97">
        <f>IF(ISNUMBER(G47), $B64 * H47, "")</f>
        <v>-6188.1188118811879</v>
      </c>
      <c r="J47" s="15">
        <v>58</v>
      </c>
      <c r="K47" s="32">
        <f t="shared" si="16"/>
        <v>-4.2904290429042924E-2</v>
      </c>
      <c r="L47" s="18">
        <f>IF(ISNUMBER(J47), $B64 * K47, "")</f>
        <v>-6435.6435643564382</v>
      </c>
      <c r="M47" s="31">
        <v>58.7</v>
      </c>
      <c r="N47" s="32">
        <f t="shared" si="17"/>
        <v>-3.135313531353133E-2</v>
      </c>
      <c r="O47" s="18">
        <f>IF(ISNUMBER(M47), $B64 * N47, "")</f>
        <v>-4702.9702970296994</v>
      </c>
      <c r="Q47" s="275"/>
      <c r="R47" s="275"/>
      <c r="S47" s="275"/>
    </row>
    <row r="48" spans="1:19" ht="17.25" customHeight="1" thickBot="1">
      <c r="A48" s="126" t="s">
        <v>196</v>
      </c>
      <c r="B48" s="127">
        <v>20.5</v>
      </c>
      <c r="C48" s="74">
        <v>0</v>
      </c>
      <c r="D48" s="20">
        <v>19.7</v>
      </c>
      <c r="E48" s="21">
        <f t="shared" si="14"/>
        <v>-3.9024390243902474E-2</v>
      </c>
      <c r="F48" s="22">
        <f>IF(ISNUMBER(D48), $B64 * E48, "")</f>
        <v>-5853.6585365853707</v>
      </c>
      <c r="G48" s="30">
        <v>19.399999999999999</v>
      </c>
      <c r="H48" s="21">
        <f t="shared" si="15"/>
        <v>-5.3658536585365922E-2</v>
      </c>
      <c r="I48" s="101">
        <f>IF(ISNUMBER(G48), $B64 * H48, "")</f>
        <v>-8048.7804878048883</v>
      </c>
      <c r="J48" s="20">
        <v>19</v>
      </c>
      <c r="K48" s="21">
        <f t="shared" si="16"/>
        <v>-7.3170731707317069E-2</v>
      </c>
      <c r="L48" s="22">
        <f>IF(ISNUMBER(J48), $B64 * K48, "")</f>
        <v>-10975.60975609756</v>
      </c>
      <c r="M48" s="30">
        <v>19.2</v>
      </c>
      <c r="N48" s="21">
        <f t="shared" si="17"/>
        <v>-6.3414634146341492E-2</v>
      </c>
      <c r="O48" s="22">
        <f>IF(ISNUMBER(M48), $B64 * N48, "")</f>
        <v>-9512.195121951223</v>
      </c>
      <c r="Q48" s="275"/>
      <c r="R48" s="275"/>
      <c r="S48" s="275"/>
    </row>
    <row r="49" spans="1:19" ht="17.25" customHeight="1" thickBot="1">
      <c r="A49" s="124" t="s">
        <v>100</v>
      </c>
      <c r="B49" s="128">
        <v>9.2200000000000006</v>
      </c>
      <c r="C49" s="76">
        <v>-3.2432431999999999E-3</v>
      </c>
      <c r="D49" s="102">
        <v>8.9600000000000009</v>
      </c>
      <c r="E49" s="103">
        <f>IF(ISNUMBER(D49), (D49 - $B49) / $B49, "")</f>
        <v>-2.8199566160520582E-2</v>
      </c>
      <c r="F49" s="104">
        <f>IF(ISNUMBER(D49), $B64 * E49, "")</f>
        <v>-4229.9349240780875</v>
      </c>
      <c r="G49" s="105">
        <v>8.7899999999999991</v>
      </c>
      <c r="H49" s="103">
        <f>IF(ISNUMBER(G49), (G49 - $B49) / $B49, "")</f>
        <v>-4.6637744034707315E-2</v>
      </c>
      <c r="I49" s="106">
        <f>IF(ISNUMBER(G49), $B64 * H49, "")</f>
        <v>-6995.6616052060972</v>
      </c>
      <c r="J49" s="102">
        <v>8.66</v>
      </c>
      <c r="K49" s="103">
        <f>IF(ISNUMBER(J49), (J49 - $B49) / $B49, "")</f>
        <v>-6.0737527114967514E-2</v>
      </c>
      <c r="L49" s="104">
        <f>IF(ISNUMBER(J49), $B64 * K49, "")</f>
        <v>-9110.6290672451269</v>
      </c>
      <c r="M49" s="105">
        <v>8.7200000000000006</v>
      </c>
      <c r="N49" s="103">
        <f>IF(ISNUMBER(M49), (M49 - $B49) / $B49, "")</f>
        <v>-5.4229934924078085E-2</v>
      </c>
      <c r="O49" s="104">
        <f>IF(ISNUMBER(M49), $B64 * N49, "")</f>
        <v>-8134.4902386117128</v>
      </c>
      <c r="Q49" s="275"/>
      <c r="R49" s="275"/>
      <c r="S49" s="275"/>
    </row>
    <row r="50" spans="1:19" ht="17.25" customHeight="1" thickBot="1">
      <c r="A50" s="124" t="s">
        <v>65</v>
      </c>
      <c r="B50" s="125">
        <v>79.5</v>
      </c>
      <c r="C50" s="73">
        <v>-8.7281796000000002E-3</v>
      </c>
      <c r="D50" s="15">
        <v>78.2</v>
      </c>
      <c r="E50" s="32">
        <f t="shared" ref="E50:E53" si="18">IF(ISNUMBER(D50), (D50 - $B50) / $B50, "")</f>
        <v>-1.63522012578616E-2</v>
      </c>
      <c r="F50" s="18">
        <f>IF(ISNUMBER(D50), $B64 * E50, "")</f>
        <v>-2452.8301886792401</v>
      </c>
      <c r="G50" s="31">
        <v>77.099999999999994</v>
      </c>
      <c r="H50" s="32">
        <f t="shared" ref="H50:H53" si="19">IF(ISNUMBER(G50), (G50 - $B50) / $B50, "")</f>
        <v>-3.0188679245283092E-2</v>
      </c>
      <c r="I50" s="97">
        <f>IF(ISNUMBER(G50), $B64 * H50, "")</f>
        <v>-4528.3018867924638</v>
      </c>
      <c r="J50" s="15">
        <v>76.7</v>
      </c>
      <c r="K50" s="32">
        <f t="shared" ref="K50:K53" si="20">IF(ISNUMBER(J50), (J50 - $B50) / $B50, "")</f>
        <v>-3.5220125786163486E-2</v>
      </c>
      <c r="L50" s="18">
        <f>IF(ISNUMBER(J50), $B64 * K50, "")</f>
        <v>-5283.018867924523</v>
      </c>
      <c r="M50" s="31">
        <v>78</v>
      </c>
      <c r="N50" s="32">
        <f t="shared" ref="N50:N53" si="21">IF(ISNUMBER(M50), (M50 - $B50) / $B50, "")</f>
        <v>-1.8867924528301886E-2</v>
      </c>
      <c r="O50" s="18">
        <f>IF(ISNUMBER(M50), $B64 * N50, "")</f>
        <v>-2830.1886792452829</v>
      </c>
      <c r="Q50" s="275"/>
      <c r="R50" s="275"/>
      <c r="S50" s="275"/>
    </row>
    <row r="51" spans="1:19" ht="17.25" customHeight="1" thickBot="1">
      <c r="A51" s="124" t="s">
        <v>220</v>
      </c>
      <c r="B51" s="125">
        <v>20.399999999999999</v>
      </c>
      <c r="C51" s="73">
        <v>-9.7087379000000001E-3</v>
      </c>
      <c r="D51" s="15">
        <v>20.100000000000001</v>
      </c>
      <c r="E51" s="32">
        <f t="shared" si="18"/>
        <v>-1.4705882352941037E-2</v>
      </c>
      <c r="F51" s="18">
        <f>IF(ISNUMBER(D51), $B64 * E51, "")</f>
        <v>-2205.8823529411557</v>
      </c>
      <c r="G51" s="31">
        <v>19.8</v>
      </c>
      <c r="H51" s="32">
        <f t="shared" si="19"/>
        <v>-2.9411764705882252E-2</v>
      </c>
      <c r="I51" s="97">
        <f>IF(ISNUMBER(G51), $B64 * H51, "")</f>
        <v>-4411.7647058823377</v>
      </c>
      <c r="J51" s="15">
        <v>19.600000000000001</v>
      </c>
      <c r="K51" s="32">
        <f t="shared" si="20"/>
        <v>-3.9215686274509665E-2</v>
      </c>
      <c r="L51" s="18">
        <f>IF(ISNUMBER(J51), $B64 * K51, "")</f>
        <v>-5882.3529411764493</v>
      </c>
      <c r="M51" s="31">
        <v>19.7</v>
      </c>
      <c r="N51" s="32">
        <f t="shared" si="21"/>
        <v>-3.4313725490196047E-2</v>
      </c>
      <c r="O51" s="18">
        <f>IF(ISNUMBER(M51), $B64 * N51, "")</f>
        <v>-5147.0588235294072</v>
      </c>
      <c r="Q51" s="275"/>
      <c r="R51" s="275"/>
      <c r="S51" s="275"/>
    </row>
    <row r="52" spans="1:19" ht="17.25" customHeight="1" thickBot="1">
      <c r="A52" s="124" t="s">
        <v>72</v>
      </c>
      <c r="B52" s="125">
        <v>38.799999999999997</v>
      </c>
      <c r="C52" s="73">
        <v>-1.02040816E-2</v>
      </c>
      <c r="D52" s="15">
        <v>37.799999999999997</v>
      </c>
      <c r="E52" s="32">
        <f t="shared" si="18"/>
        <v>-2.5773195876288662E-2</v>
      </c>
      <c r="F52" s="18">
        <f>IF(ISNUMBER(D52), $B64 * E52, "")</f>
        <v>-3865.9793814432992</v>
      </c>
      <c r="G52" s="31">
        <v>37.200000000000003</v>
      </c>
      <c r="H52" s="32">
        <f t="shared" si="19"/>
        <v>-4.1237113402061709E-2</v>
      </c>
      <c r="I52" s="97">
        <f>IF(ISNUMBER(G52), $B64 * H52, "")</f>
        <v>-6185.5670103092561</v>
      </c>
      <c r="J52" s="15">
        <v>36.799999999999997</v>
      </c>
      <c r="K52" s="32">
        <f t="shared" si="20"/>
        <v>-5.1546391752577324E-2</v>
      </c>
      <c r="L52" s="18">
        <f>IF(ISNUMBER(J52), $B64 * K52, "")</f>
        <v>-7731.9587628865984</v>
      </c>
      <c r="M52" s="31">
        <v>36.6</v>
      </c>
      <c r="N52" s="32">
        <f t="shared" si="21"/>
        <v>-5.6701030927834947E-2</v>
      </c>
      <c r="O52" s="18">
        <f>IF(ISNUMBER(M52), $B64 * N52, "")</f>
        <v>-8505.1546391752418</v>
      </c>
      <c r="Q52" s="33"/>
      <c r="R52" s="33"/>
    </row>
    <row r="53" spans="1:19" ht="17.25" customHeight="1" thickBot="1">
      <c r="A53" s="129" t="s">
        <v>266</v>
      </c>
      <c r="B53" s="130">
        <v>92.4</v>
      </c>
      <c r="C53" s="75">
        <v>-1.2820512799999999E-2</v>
      </c>
      <c r="D53" s="24">
        <v>91.8</v>
      </c>
      <c r="E53" s="25">
        <f t="shared" si="18"/>
        <v>-6.493506493506585E-3</v>
      </c>
      <c r="F53" s="100">
        <f>IF(ISNUMBER(D53), $B64 * E53, "")</f>
        <v>-974.02597402598781</v>
      </c>
      <c r="G53" s="98">
        <v>90.3</v>
      </c>
      <c r="H53" s="25">
        <f t="shared" si="19"/>
        <v>-2.2727272727272818E-2</v>
      </c>
      <c r="I53" s="99">
        <f>IF(ISNUMBER(G53), $B64 * H53, "")</f>
        <v>-3409.0909090909227</v>
      </c>
      <c r="J53" s="24">
        <v>90.3</v>
      </c>
      <c r="K53" s="25">
        <f t="shared" si="20"/>
        <v>-2.2727272727272818E-2</v>
      </c>
      <c r="L53" s="100">
        <f>IF(ISNUMBER(J53), $B64 * K53, "")</f>
        <v>-3409.0909090909227</v>
      </c>
      <c r="M53" s="98">
        <v>89.9</v>
      </c>
      <c r="N53" s="25">
        <f t="shared" si="21"/>
        <v>-2.7056277056277056E-2</v>
      </c>
      <c r="O53" s="100">
        <f>IF(ISNUMBER(M53), $B64 * N53, "")</f>
        <v>-4058.4415584415583</v>
      </c>
      <c r="Q53" s="284"/>
      <c r="R53" s="285"/>
      <c r="S53" s="286"/>
    </row>
    <row r="54" spans="1:19" ht="17.25" customHeight="1">
      <c r="A54" s="122" t="s">
        <v>268</v>
      </c>
      <c r="B54" s="123">
        <v>92.3</v>
      </c>
      <c r="C54" s="72">
        <v>-1.5991471199999999E-2</v>
      </c>
      <c r="D54" s="13">
        <v>89.8</v>
      </c>
      <c r="E54" s="14">
        <f>IF(ISNUMBER(D54), (D54 - $B54) / $B54, "")</f>
        <v>-2.7085590465872156E-2</v>
      </c>
      <c r="F54" s="16">
        <f>IF(ISNUMBER(D54), $B64 * E54, "")</f>
        <v>-4062.8385698808233</v>
      </c>
      <c r="G54" s="29">
        <v>89</v>
      </c>
      <c r="H54" s="14">
        <f>IF(ISNUMBER(G54), (G54 - $B54) / $B54, "")</f>
        <v>-3.5752979414951216E-2</v>
      </c>
      <c r="I54" s="96">
        <f>IF(ISNUMBER(G54), $B64 * H54, "")</f>
        <v>-5362.9469122426826</v>
      </c>
      <c r="J54" s="13">
        <v>87.5</v>
      </c>
      <c r="K54" s="14">
        <f>IF(ISNUMBER(J54), (J54 - $B54) / $B54, "")</f>
        <v>-5.2004333694474512E-2</v>
      </c>
      <c r="L54" s="16">
        <f>IF(ISNUMBER(J54), $B64 * K54, "")</f>
        <v>-7800.6500541711766</v>
      </c>
      <c r="M54" s="29">
        <v>87.9</v>
      </c>
      <c r="N54" s="14">
        <f>IF(ISNUMBER(M54), (M54 - $B54) / $B54, "")</f>
        <v>-4.7670639219934904E-2</v>
      </c>
      <c r="O54" s="16">
        <f>IF(ISNUMBER(M54), $B64 * N54, "")</f>
        <v>-7150.5958829902356</v>
      </c>
      <c r="Q54" s="287"/>
      <c r="R54" s="288"/>
      <c r="S54" s="289"/>
    </row>
    <row r="55" spans="1:19" ht="17.25" customHeight="1" thickBot="1">
      <c r="A55" s="124" t="s">
        <v>228</v>
      </c>
      <c r="B55" s="125">
        <v>18.2</v>
      </c>
      <c r="C55" s="73">
        <v>-1.6216216200000001E-2</v>
      </c>
      <c r="D55" s="15">
        <v>17.600000000000001</v>
      </c>
      <c r="E55" s="32">
        <f t="shared" ref="E55:E58" si="22">IF(ISNUMBER(D55), (D55 - $B55) / $B55, "")</f>
        <v>-3.296703296703285E-2</v>
      </c>
      <c r="F55" s="18">
        <f>IF(ISNUMBER(D55), $B64 * E55, "")</f>
        <v>-4945.0549450549279</v>
      </c>
      <c r="G55" s="31">
        <v>17.5</v>
      </c>
      <c r="H55" s="32">
        <f t="shared" ref="H55:H58" si="23">IF(ISNUMBER(G55), (G55 - $B55) / $B55, "")</f>
        <v>-3.8461538461538422E-2</v>
      </c>
      <c r="I55" s="97">
        <f>IF(ISNUMBER(G55), $B64 * H55, "")</f>
        <v>-5769.2307692307631</v>
      </c>
      <c r="J55" s="15">
        <v>17.3</v>
      </c>
      <c r="K55" s="32">
        <f t="shared" ref="K55:K58" si="24">IF(ISNUMBER(J55), (J55 - $B55) / $B55, "")</f>
        <v>-4.9450549450549372E-2</v>
      </c>
      <c r="L55" s="18">
        <f>IF(ISNUMBER(J55), $B64 * K55, "")</f>
        <v>-7417.5824175824055</v>
      </c>
      <c r="M55" s="31">
        <v>17.3</v>
      </c>
      <c r="N55" s="32">
        <f t="shared" ref="N55:N58" si="25">IF(ISNUMBER(M55), (M55 - $B55) / $B55, "")</f>
        <v>-4.9450549450549372E-2</v>
      </c>
      <c r="O55" s="18">
        <f>IF(ISNUMBER(M55), $B64 * N55, "")</f>
        <v>-7417.5824175824055</v>
      </c>
      <c r="Q55" s="290"/>
      <c r="R55" s="291"/>
      <c r="S55" s="292"/>
    </row>
    <row r="56" spans="1:19" ht="17.25" customHeight="1" thickBot="1">
      <c r="A56" s="124" t="s">
        <v>236</v>
      </c>
      <c r="B56" s="125">
        <v>67.400000000000006</v>
      </c>
      <c r="C56" s="73">
        <v>-1.7492711399999999E-2</v>
      </c>
      <c r="D56" s="15">
        <v>66</v>
      </c>
      <c r="E56" s="32">
        <f t="shared" si="22"/>
        <v>-2.0771513353115809E-2</v>
      </c>
      <c r="F56" s="18">
        <f>IF(ISNUMBER(D56), $B64 * E56, "")</f>
        <v>-3115.7270029673714</v>
      </c>
      <c r="G56" s="31">
        <v>64.5</v>
      </c>
      <c r="H56" s="32">
        <f t="shared" si="23"/>
        <v>-4.302670623145409E-2</v>
      </c>
      <c r="I56" s="97">
        <f>IF(ISNUMBER(G56), $B64 * H56, "")</f>
        <v>-6454.0059347181132</v>
      </c>
      <c r="J56" s="15">
        <v>63.5</v>
      </c>
      <c r="K56" s="32">
        <f t="shared" si="24"/>
        <v>-5.7863501483679608E-2</v>
      </c>
      <c r="L56" s="18">
        <f>IF(ISNUMBER(J56), $B64 * K56, "")</f>
        <v>-8679.5252225519416</v>
      </c>
      <c r="M56" s="31">
        <v>64</v>
      </c>
      <c r="N56" s="32">
        <f t="shared" si="25"/>
        <v>-5.0445103857566849E-2</v>
      </c>
      <c r="O56" s="18">
        <f>IF(ISNUMBER(M56), $B64 * N56, "")</f>
        <v>-7566.7655786350269</v>
      </c>
      <c r="Q56" s="275"/>
      <c r="R56" s="275"/>
      <c r="S56" s="275"/>
    </row>
    <row r="57" spans="1:19" ht="17.25" customHeight="1" thickBot="1">
      <c r="A57" s="124" t="s">
        <v>222</v>
      </c>
      <c r="B57" s="125">
        <v>18.600000000000001</v>
      </c>
      <c r="C57" s="73">
        <v>-2.10526316E-2</v>
      </c>
      <c r="D57" s="15">
        <v>17.899999999999999</v>
      </c>
      <c r="E57" s="32">
        <f t="shared" si="22"/>
        <v>-3.7634408602150685E-2</v>
      </c>
      <c r="F57" s="18">
        <f>IF(ISNUMBER(D57), $B64 * E57, "")</f>
        <v>-5645.1612903226023</v>
      </c>
      <c r="G57" s="31">
        <v>17.7</v>
      </c>
      <c r="H57" s="32">
        <f t="shared" si="23"/>
        <v>-4.8387096774193658E-2</v>
      </c>
      <c r="I57" s="97">
        <f>IF(ISNUMBER(G57), $B64 * H57, "")</f>
        <v>-7258.0645161290486</v>
      </c>
      <c r="J57" s="15">
        <v>17.5</v>
      </c>
      <c r="K57" s="32">
        <f t="shared" si="24"/>
        <v>-5.9139784946236632E-2</v>
      </c>
      <c r="L57" s="18">
        <f>IF(ISNUMBER(J57), $B64 * K57, "")</f>
        <v>-8870.9677419354939</v>
      </c>
      <c r="M57" s="31">
        <v>17.600000000000001</v>
      </c>
      <c r="N57" s="32">
        <f t="shared" si="25"/>
        <v>-5.3763440860215048E-2</v>
      </c>
      <c r="O57" s="18">
        <f>IF(ISNUMBER(M57), $B64 * N57, "")</f>
        <v>-8064.5161290322576</v>
      </c>
      <c r="Q57" s="270"/>
      <c r="R57" s="270"/>
      <c r="S57" s="270"/>
    </row>
    <row r="58" spans="1:19" ht="17.25" customHeight="1" thickBot="1">
      <c r="A58" s="126" t="s">
        <v>218</v>
      </c>
      <c r="B58" s="127">
        <v>27.9</v>
      </c>
      <c r="C58" s="74">
        <v>-2.4475524500000002E-2</v>
      </c>
      <c r="D58" s="20">
        <v>26.8</v>
      </c>
      <c r="E58" s="21">
        <f t="shared" si="22"/>
        <v>-3.9426523297490967E-2</v>
      </c>
      <c r="F58" s="22">
        <f>IF(ISNUMBER(D58), $B64 * E58, "")</f>
        <v>-5913.978494623645</v>
      </c>
      <c r="G58" s="30">
        <v>26.7</v>
      </c>
      <c r="H58" s="21">
        <f t="shared" si="23"/>
        <v>-4.3010752688172019E-2</v>
      </c>
      <c r="I58" s="101">
        <f>IF(ISNUMBER(G58), $B64 * H58, "")</f>
        <v>-6451.6129032258032</v>
      </c>
      <c r="J58" s="20">
        <v>26.3</v>
      </c>
      <c r="K58" s="21">
        <f t="shared" si="24"/>
        <v>-5.7347670250895981E-2</v>
      </c>
      <c r="L58" s="22">
        <f>IF(ISNUMBER(J58), $B64 * K58, "")</f>
        <v>-8602.1505376343976</v>
      </c>
      <c r="M58" s="30">
        <v>26.4</v>
      </c>
      <c r="N58" s="21">
        <f t="shared" si="25"/>
        <v>-5.3763440860215055E-2</v>
      </c>
      <c r="O58" s="22">
        <f>IF(ISNUMBER(M58), $B64 * N58, "")</f>
        <v>-8064.5161290322585</v>
      </c>
      <c r="Q58" s="270"/>
      <c r="R58" s="270"/>
      <c r="S58" s="270"/>
    </row>
    <row r="59" spans="1:19" ht="17.25" customHeight="1" thickBot="1">
      <c r="A59" s="124" t="s">
        <v>254</v>
      </c>
      <c r="B59" s="128">
        <v>83.8</v>
      </c>
      <c r="C59" s="76">
        <v>-2.6713124299999998E-2</v>
      </c>
      <c r="D59" s="102">
        <v>81.400000000000006</v>
      </c>
      <c r="E59" s="103">
        <f>IF(ISNUMBER(D59), (D59 - $B59) / $B59, "")</f>
        <v>-2.8639618138424722E-2</v>
      </c>
      <c r="F59" s="104">
        <f>IF(ISNUMBER(D59), $B64 * E59, "")</f>
        <v>-4295.9427207637082</v>
      </c>
      <c r="G59" s="105">
        <v>80.2</v>
      </c>
      <c r="H59" s="103">
        <f>IF(ISNUMBER(G59), (G59 - $B59) / $B59, "")</f>
        <v>-4.2959427207637166E-2</v>
      </c>
      <c r="I59" s="106">
        <f>IF(ISNUMBER(G59), $B64 * H59, "")</f>
        <v>-6443.9140811455745</v>
      </c>
      <c r="J59" s="102">
        <v>78.900000000000006</v>
      </c>
      <c r="K59" s="103">
        <f>IF(ISNUMBER(J59), (J59 - $B59) / $B59, "")</f>
        <v>-5.8472553699283912E-2</v>
      </c>
      <c r="L59" s="104">
        <f>IF(ISNUMBER(J59), $B64 * K59, "")</f>
        <v>-8770.8830548925871</v>
      </c>
      <c r="M59" s="105">
        <v>80.3</v>
      </c>
      <c r="N59" s="103">
        <f>IF(ISNUMBER(M59), (M59 - $B59) / $B59, "")</f>
        <v>-4.1766109785202864E-2</v>
      </c>
      <c r="O59" s="104">
        <f>IF(ISNUMBER(M59), $B64 * N59, "")</f>
        <v>-6264.9164677804292</v>
      </c>
      <c r="Q59" s="275"/>
      <c r="R59" s="275"/>
      <c r="S59" s="275"/>
    </row>
    <row r="60" spans="1:19" ht="17.25" customHeight="1" thickBot="1">
      <c r="A60" s="124" t="s">
        <v>214</v>
      </c>
      <c r="B60" s="125">
        <v>21.6</v>
      </c>
      <c r="C60" s="73">
        <v>-2.7027026999999999E-2</v>
      </c>
      <c r="D60" s="15">
        <v>20.8</v>
      </c>
      <c r="E60" s="32">
        <f t="shared" ref="E60:E63" si="26">IF(ISNUMBER(D60), (D60 - $B60) / $B60, "")</f>
        <v>-3.703703703703707E-2</v>
      </c>
      <c r="F60" s="18">
        <f>IF(ISNUMBER(D60), $B64 * E60, "")</f>
        <v>-5555.5555555555602</v>
      </c>
      <c r="G60" s="31">
        <v>20.5</v>
      </c>
      <c r="H60" s="32">
        <f t="shared" ref="H60:H63" si="27">IF(ISNUMBER(G60), (G60 - $B60) / $B60, "")</f>
        <v>-5.0925925925925986E-2</v>
      </c>
      <c r="I60" s="97">
        <f>IF(ISNUMBER(G60), $B64 * H60, "")</f>
        <v>-7638.8888888888978</v>
      </c>
      <c r="J60" s="15">
        <v>20.3</v>
      </c>
      <c r="K60" s="32">
        <f t="shared" ref="K60:K63" si="28">IF(ISNUMBER(J60), (J60 - $B60) / $B60, "")</f>
        <v>-6.0185185185185217E-2</v>
      </c>
      <c r="L60" s="18">
        <f>IF(ISNUMBER(J60), $B64 * K60, "")</f>
        <v>-9027.7777777777828</v>
      </c>
      <c r="M60" s="31">
        <v>20.5</v>
      </c>
      <c r="N60" s="32">
        <f t="shared" ref="N60:N63" si="29">IF(ISNUMBER(M60), (M60 - $B60) / $B60, "")</f>
        <v>-5.0925925925925986E-2</v>
      </c>
      <c r="O60" s="18">
        <f>IF(ISNUMBER(M60), $B64 * N60, "")</f>
        <v>-7638.8888888888978</v>
      </c>
      <c r="Q60" s="275"/>
      <c r="R60" s="275"/>
      <c r="S60" s="275"/>
    </row>
    <row r="61" spans="1:19" ht="17.25" customHeight="1" thickBot="1">
      <c r="A61" s="124" t="s">
        <v>152</v>
      </c>
      <c r="B61" s="125">
        <v>49.7</v>
      </c>
      <c r="C61" s="73">
        <v>-2.73972603E-2</v>
      </c>
      <c r="D61" s="15">
        <v>48.7</v>
      </c>
      <c r="E61" s="32">
        <f t="shared" si="26"/>
        <v>-2.0120724346076459E-2</v>
      </c>
      <c r="F61" s="18">
        <f>IF(ISNUMBER(D61), $B64 * E61, "")</f>
        <v>-3018.1086519114688</v>
      </c>
      <c r="G61" s="31">
        <v>48</v>
      </c>
      <c r="H61" s="32">
        <f t="shared" si="27"/>
        <v>-3.4205231388330037E-2</v>
      </c>
      <c r="I61" s="97">
        <f>IF(ISNUMBER(G61), $B64 * H61, "")</f>
        <v>-5130.7847082495055</v>
      </c>
      <c r="J61" s="15">
        <v>47.5</v>
      </c>
      <c r="K61" s="32">
        <f t="shared" si="28"/>
        <v>-4.4265593561368263E-2</v>
      </c>
      <c r="L61" s="18">
        <f>IF(ISNUMBER(J61), $B64 * K61, "")</f>
        <v>-6639.8390342052398</v>
      </c>
      <c r="M61" s="31">
        <v>47.4</v>
      </c>
      <c r="N61" s="32">
        <f t="shared" si="29"/>
        <v>-4.6277665995975936E-2</v>
      </c>
      <c r="O61" s="18">
        <f>IF(ISNUMBER(M61), $B64 * N61, "")</f>
        <v>-6941.6498993963905</v>
      </c>
      <c r="Q61" s="275"/>
      <c r="R61" s="275"/>
      <c r="S61" s="275"/>
    </row>
    <row r="62" spans="1:19" ht="17.25" customHeight="1">
      <c r="A62" s="124" t="s">
        <v>198</v>
      </c>
      <c r="B62" s="125">
        <v>27.7</v>
      </c>
      <c r="C62" s="73">
        <v>-3.4843205600000003E-2</v>
      </c>
      <c r="D62" s="15">
        <v>26.8</v>
      </c>
      <c r="E62" s="32">
        <f t="shared" si="26"/>
        <v>-3.2490974729241826E-2</v>
      </c>
      <c r="F62" s="18">
        <f>IF(ISNUMBER(D62), $B64 * E62, "")</f>
        <v>-4873.6462093862738</v>
      </c>
      <c r="G62" s="31">
        <v>26.6</v>
      </c>
      <c r="H62" s="32">
        <f t="shared" si="27"/>
        <v>-3.9711191335739998E-2</v>
      </c>
      <c r="I62" s="97">
        <f>IF(ISNUMBER(G62), $B64 * H62, "")</f>
        <v>-5956.6787003609998</v>
      </c>
      <c r="J62" s="15">
        <v>26.1</v>
      </c>
      <c r="K62" s="32">
        <f t="shared" si="28"/>
        <v>-5.7761732851985485E-2</v>
      </c>
      <c r="L62" s="18">
        <f>IF(ISNUMBER(J62), $B64 * K62, "")</f>
        <v>-8664.2599277978225</v>
      </c>
      <c r="M62" s="31">
        <v>26.3</v>
      </c>
      <c r="N62" s="32">
        <f t="shared" si="29"/>
        <v>-5.0541516245487313E-2</v>
      </c>
      <c r="O62" s="18">
        <f>IF(ISNUMBER(M62), $B64 * N62, "")</f>
        <v>-7581.2274368230965</v>
      </c>
      <c r="Q62" s="297"/>
      <c r="R62" s="298"/>
      <c r="S62" s="299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00"/>
      <c r="R63" s="301"/>
      <c r="S63" s="302"/>
    </row>
    <row r="64" spans="1:19" ht="17.25" customHeight="1" thickBot="1">
      <c r="A64" s="131" t="s">
        <v>301</v>
      </c>
      <c r="B64" s="308">
        <f>$B$37</f>
        <v>150000</v>
      </c>
      <c r="C64" s="309"/>
      <c r="D64" s="26" t="s">
        <v>302</v>
      </c>
      <c r="E64" s="27">
        <f>IF(COUNT(E44:E63), SUM(E44:E63) / COUNT(E44:E63), 0)</f>
        <v>-2.920821517867268E-2</v>
      </c>
      <c r="F64" s="28">
        <f>SUM(F44:F63)</f>
        <v>-83243.413259217152</v>
      </c>
      <c r="G64" s="26" t="s">
        <v>302</v>
      </c>
      <c r="H64" s="27">
        <f>IF(COUNT(H44:H63), SUM(H44:H63) / COUNT(H44:H63), 0)</f>
        <v>-4.2111299463675984E-2</v>
      </c>
      <c r="I64" s="28">
        <f>SUM(I44:I63)</f>
        <v>-120017.20347147653</v>
      </c>
      <c r="J64" s="26" t="s">
        <v>302</v>
      </c>
      <c r="K64" s="27">
        <f>IF(COUNT(K44:K63), SUM(K44:K63) / COUNT(K44:K63), 0)</f>
        <v>-5.489145518080224E-2</v>
      </c>
      <c r="L64" s="28">
        <f>SUM(L44:L63)</f>
        <v>-156440.64726528642</v>
      </c>
      <c r="M64" s="26" t="s">
        <v>302</v>
      </c>
      <c r="N64" s="27">
        <f>IF(COUNT(N44:N63), SUM(N44:N63) / COUNT(N44:N63), 0)</f>
        <v>-4.9412140634203336E-2</v>
      </c>
      <c r="O64" s="28">
        <f>SUM(O44:O63)</f>
        <v>-140824.6008074795</v>
      </c>
      <c r="Q64" s="303"/>
      <c r="R64" s="304"/>
      <c r="S64" s="305"/>
    </row>
    <row r="65" spans="1:19" ht="17.25" customHeight="1"/>
    <row r="66" spans="1:19" ht="17.25" customHeight="1" thickBot="1"/>
    <row r="67" spans="1:19" ht="17.25" thickBot="1">
      <c r="A67" s="249" t="s">
        <v>45</v>
      </c>
      <c r="B67" s="250"/>
      <c r="C67" s="250"/>
      <c r="D67" s="250"/>
      <c r="E67" s="250"/>
      <c r="F67" s="250"/>
      <c r="G67" s="250"/>
      <c r="H67" s="250"/>
      <c r="I67" s="250"/>
      <c r="J67" s="250"/>
      <c r="K67" s="250"/>
      <c r="L67" s="250"/>
      <c r="M67" s="250"/>
      <c r="N67" s="250"/>
      <c r="O67" s="251"/>
      <c r="Q67" s="270"/>
      <c r="R67" s="270"/>
      <c r="S67" s="270"/>
    </row>
    <row r="68" spans="1:19" ht="17.25" thickBot="1">
      <c r="A68" s="171" t="s">
        <v>298</v>
      </c>
      <c r="B68" s="249" t="s">
        <v>49</v>
      </c>
      <c r="C68" s="251"/>
      <c r="D68" s="249" t="s">
        <v>58</v>
      </c>
      <c r="E68" s="250"/>
      <c r="F68" s="251"/>
      <c r="G68" s="276">
        <f>_xlfn.IFNA(VLOOKUP(B68, 현재가테이블!$B$2:$D$200, 2, FALSE), "-")</f>
        <v>60874000</v>
      </c>
      <c r="H68" s="277"/>
      <c r="I68" s="278"/>
      <c r="J68" s="249" t="s">
        <v>59</v>
      </c>
      <c r="K68" s="250"/>
      <c r="L68" s="251"/>
      <c r="M68" s="279">
        <f>_xlfn.IFNA(VLOOKUP(B68, 현재가테이블!$B$2:$D$200, 3, FALSE), "-")</f>
        <v>-1.4936000099999999E-2</v>
      </c>
      <c r="N68" s="280"/>
      <c r="O68" s="281"/>
      <c r="Q68" s="270"/>
      <c r="R68" s="270"/>
      <c r="S68" s="270"/>
    </row>
    <row r="69" spans="1:19" ht="17.25" thickBot="1">
      <c r="A69" s="310" t="s">
        <v>55</v>
      </c>
      <c r="B69" s="312" t="str">
        <f>TEXT($G$1, "[$-ko-KR]yyyy-mm-dd(ddd) ") &amp; "오전 00:00"</f>
        <v>2021-05-09(일) 오전 00:00</v>
      </c>
      <c r="C69" s="313"/>
      <c r="D69" s="272" t="str">
        <f>TEXT($G$1, "[$-ko-KR]yyyy-mm-dd(ddd) ") &amp; "오후 14:00"</f>
        <v>2021-05-09(일) 오후 14:00</v>
      </c>
      <c r="E69" s="273"/>
      <c r="F69" s="274"/>
      <c r="G69" s="272" t="str">
        <f>TEXT($G$1, "[$-ko-KR]yyyy-mm-dd(ddd) ") &amp; "오후 19:00"</f>
        <v>2021-05-09(일) 오후 19:00</v>
      </c>
      <c r="H69" s="273"/>
      <c r="I69" s="274"/>
      <c r="J69" s="272" t="str">
        <f>TEXT($G$1, "[$-ko-KR]yyyy-mm-dd(ddd) ") &amp; "오후 21:00"</f>
        <v>2021-05-09(일) 오후 21:00</v>
      </c>
      <c r="K69" s="273"/>
      <c r="L69" s="274"/>
      <c r="M69" s="272" t="str">
        <f>TEXT($G$1+1, "[$-ko-KR]yyyy-mm-dd(ddd) ") &amp; "오전 00:00"</f>
        <v>2021-05-10(월) 오전 00:00</v>
      </c>
      <c r="N69" s="273"/>
      <c r="O69" s="274"/>
      <c r="Q69" s="270"/>
      <c r="R69" s="270"/>
      <c r="S69" s="270"/>
    </row>
    <row r="70" spans="1:19" ht="17.25" thickBot="1">
      <c r="A70" s="311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72" t="s">
        <v>58</v>
      </c>
      <c r="H70" s="173" t="s">
        <v>299</v>
      </c>
      <c r="I70" s="17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75"/>
      <c r="R70" s="275"/>
      <c r="S70" s="275"/>
    </row>
    <row r="71" spans="1:19" ht="17.25" thickBot="1">
      <c r="A71" s="122" t="s">
        <v>182</v>
      </c>
      <c r="B71" s="123">
        <v>567</v>
      </c>
      <c r="C71" s="72">
        <v>9.0384615400000007E-2</v>
      </c>
      <c r="D71" s="13">
        <v>570</v>
      </c>
      <c r="E71" s="14">
        <f>IF(ISNUMBER(D71), (D71 - $B71) / $B71, "")</f>
        <v>5.2910052910052907E-3</v>
      </c>
      <c r="F71" s="16">
        <f>IF(ISNUMBER(D71), $B91 * E71, "")</f>
        <v>793.65079365079362</v>
      </c>
      <c r="G71" s="29">
        <v>556</v>
      </c>
      <c r="H71" s="14">
        <f>IF(ISNUMBER(G71), (G71 - $B71) / $B71, "")</f>
        <v>-1.9400352733686066E-2</v>
      </c>
      <c r="I71" s="96">
        <f>IF(ISNUMBER(G71), $B91 * H71, "")</f>
        <v>-2910.0529100529097</v>
      </c>
      <c r="J71" s="13">
        <v>552</v>
      </c>
      <c r="K71" s="14">
        <f>IF(ISNUMBER(J71), (J71 - $B71) / $B71, "")</f>
        <v>-2.6455026455026454E-2</v>
      </c>
      <c r="L71" s="16">
        <f>IF(ISNUMBER(J71), $B91 * K71, "")</f>
        <v>-3968.2539682539682</v>
      </c>
      <c r="M71" s="29">
        <v>553</v>
      </c>
      <c r="N71" s="14">
        <f>IF(ISNUMBER(M71), (M71 - $B71) / $B71, "")</f>
        <v>-2.4691358024691357E-2</v>
      </c>
      <c r="O71" s="16">
        <f>IF(ISNUMBER(M71), $B91 * N71, "")</f>
        <v>-3703.7037037037035</v>
      </c>
      <c r="Q71" s="270"/>
      <c r="R71" s="270"/>
      <c r="S71" s="270"/>
    </row>
    <row r="72" spans="1:19" ht="17.25" thickBot="1">
      <c r="A72" s="124" t="s">
        <v>128</v>
      </c>
      <c r="B72" s="125">
        <v>746</v>
      </c>
      <c r="C72" s="73">
        <v>4.4817927200000003E-2</v>
      </c>
      <c r="D72" s="15">
        <v>723</v>
      </c>
      <c r="E72" s="32">
        <f t="shared" ref="E72:E75" si="30">IF(ISNUMBER(D72), (D72 - $B72) / $B72, "")</f>
        <v>-3.0831099195710455E-2</v>
      </c>
      <c r="F72" s="18">
        <f>IF(ISNUMBER(D72), $B91 * E72, "")</f>
        <v>-4624.6648793565682</v>
      </c>
      <c r="G72" s="31">
        <v>718</v>
      </c>
      <c r="H72" s="32">
        <f t="shared" ref="H72:H75" si="31">IF(ISNUMBER(G72), (G72 - $B72) / $B72, "")</f>
        <v>-3.7533512064343161E-2</v>
      </c>
      <c r="I72" s="97">
        <f>IF(ISNUMBER(G72), $B91 * H72, "")</f>
        <v>-5630.0268096514737</v>
      </c>
      <c r="J72" s="15">
        <v>713</v>
      </c>
      <c r="K72" s="32">
        <f t="shared" ref="K72:K75" si="32">IF(ISNUMBER(J72), (J72 - $B72) / $B72, "")</f>
        <v>-4.4235924932975873E-2</v>
      </c>
      <c r="L72" s="18">
        <f>IF(ISNUMBER(J72), $B91 * K72, "")</f>
        <v>-6635.3887399463811</v>
      </c>
      <c r="M72" s="31">
        <v>715</v>
      </c>
      <c r="N72" s="32">
        <f t="shared" ref="N72:N75" si="33">IF(ISNUMBER(M72), (M72 - $B72) / $B72, "")</f>
        <v>-4.1554959785522788E-2</v>
      </c>
      <c r="O72" s="18">
        <f>IF(ISNUMBER(M72), $B91 * N72, "")</f>
        <v>-6233.2439678284181</v>
      </c>
      <c r="Q72" s="270"/>
      <c r="R72" s="270"/>
      <c r="S72" s="270"/>
    </row>
    <row r="73" spans="1:19" ht="17.25" thickBot="1">
      <c r="A73" s="124" t="s">
        <v>258</v>
      </c>
      <c r="B73" s="125">
        <v>722</v>
      </c>
      <c r="C73" s="73">
        <v>4.33526012E-2</v>
      </c>
      <c r="D73" s="15">
        <v>686</v>
      </c>
      <c r="E73" s="32">
        <f t="shared" si="30"/>
        <v>-4.9861495844875349E-2</v>
      </c>
      <c r="F73" s="18">
        <f>IF(ISNUMBER(D73), $B91 * E73, "")</f>
        <v>-7479.2243767313021</v>
      </c>
      <c r="G73" s="31">
        <v>682</v>
      </c>
      <c r="H73" s="32">
        <f t="shared" si="31"/>
        <v>-5.5401662049861494E-2</v>
      </c>
      <c r="I73" s="97">
        <f>IF(ISNUMBER(G73), $B91 * H73, "")</f>
        <v>-8310.2493074792237</v>
      </c>
      <c r="J73" s="15">
        <v>670</v>
      </c>
      <c r="K73" s="32">
        <f t="shared" si="32"/>
        <v>-7.2022160664819951E-2</v>
      </c>
      <c r="L73" s="18">
        <f>IF(ISNUMBER(J73), $B91 * K73, "")</f>
        <v>-10803.324099722993</v>
      </c>
      <c r="M73" s="31">
        <v>671</v>
      </c>
      <c r="N73" s="32">
        <f t="shared" si="33"/>
        <v>-7.0637119113573413E-2</v>
      </c>
      <c r="O73" s="18">
        <f>IF(ISNUMBER(M73), $B91 * N73, "")</f>
        <v>-10595.567867036012</v>
      </c>
      <c r="Q73" s="275"/>
      <c r="R73" s="275"/>
      <c r="S73" s="275"/>
    </row>
    <row r="74" spans="1:19" ht="17.25" thickBot="1">
      <c r="A74" s="124" t="s">
        <v>136</v>
      </c>
      <c r="B74" s="125">
        <v>282</v>
      </c>
      <c r="C74" s="73">
        <v>4.0590405900000001E-2</v>
      </c>
      <c r="D74" s="15">
        <v>275</v>
      </c>
      <c r="E74" s="32">
        <f t="shared" si="30"/>
        <v>-2.4822695035460994E-2</v>
      </c>
      <c r="F74" s="18">
        <f>IF(ISNUMBER(D74), $B91 * E74, "")</f>
        <v>-3723.4042553191489</v>
      </c>
      <c r="G74" s="31">
        <v>279</v>
      </c>
      <c r="H74" s="32">
        <f t="shared" si="31"/>
        <v>-1.0638297872340425E-2</v>
      </c>
      <c r="I74" s="97">
        <f>IF(ISNUMBER(G74), $B91 * H74, "")</f>
        <v>-1595.7446808510638</v>
      </c>
      <c r="J74" s="15">
        <v>276</v>
      </c>
      <c r="K74" s="32">
        <f t="shared" si="32"/>
        <v>-2.1276595744680851E-2</v>
      </c>
      <c r="L74" s="18">
        <f>IF(ISNUMBER(J74), $B91 * K74, "")</f>
        <v>-3191.4893617021276</v>
      </c>
      <c r="M74" s="31">
        <v>276</v>
      </c>
      <c r="N74" s="32">
        <f t="shared" si="33"/>
        <v>-2.1276595744680851E-2</v>
      </c>
      <c r="O74" s="18">
        <f>IF(ISNUMBER(M74), $B91 * N74, "")</f>
        <v>-3191.4893617021276</v>
      </c>
      <c r="Q74" s="275"/>
      <c r="R74" s="275"/>
      <c r="S74" s="275"/>
    </row>
    <row r="75" spans="1:19" ht="17.25" thickBot="1">
      <c r="A75" s="126" t="s">
        <v>296</v>
      </c>
      <c r="B75" s="127">
        <v>857</v>
      </c>
      <c r="C75" s="74">
        <v>3.8787878800000002E-2</v>
      </c>
      <c r="D75" s="20">
        <v>679</v>
      </c>
      <c r="E75" s="21">
        <f t="shared" si="30"/>
        <v>-0.20770128354725786</v>
      </c>
      <c r="F75" s="22">
        <f>IF(ISNUMBER(D75), $B91 * E75, "")</f>
        <v>-31155.19253208868</v>
      </c>
      <c r="G75" s="30">
        <v>602</v>
      </c>
      <c r="H75" s="21">
        <f t="shared" si="31"/>
        <v>-0.29754959159859978</v>
      </c>
      <c r="I75" s="101">
        <f>IF(ISNUMBER(G75), $B91 * H75, "")</f>
        <v>-44632.43873978997</v>
      </c>
      <c r="J75" s="20">
        <v>566</v>
      </c>
      <c r="K75" s="21">
        <f t="shared" si="32"/>
        <v>-0.33955659276546091</v>
      </c>
      <c r="L75" s="22">
        <f>IF(ISNUMBER(J75), $B91 * K75, "")</f>
        <v>-50933.488914819136</v>
      </c>
      <c r="M75" s="30">
        <v>594</v>
      </c>
      <c r="N75" s="21">
        <f t="shared" si="33"/>
        <v>-0.30688448074679114</v>
      </c>
      <c r="O75" s="22">
        <f>IF(ISNUMBER(M75), $B91 * N75, "")</f>
        <v>-46032.67211201867</v>
      </c>
      <c r="Q75" s="275"/>
      <c r="R75" s="275"/>
      <c r="S75" s="275"/>
    </row>
    <row r="76" spans="1:19" ht="17.25" thickBot="1">
      <c r="A76" s="124" t="s">
        <v>284</v>
      </c>
      <c r="B76" s="128">
        <v>534</v>
      </c>
      <c r="C76" s="76">
        <v>2.89017341E-2</v>
      </c>
      <c r="D76" s="102">
        <v>525</v>
      </c>
      <c r="E76" s="103">
        <f>IF(ISNUMBER(D76), (D76 - $B76) / $B76, "")</f>
        <v>-1.6853932584269662E-2</v>
      </c>
      <c r="F76" s="104">
        <f>IF(ISNUMBER(D76), $B91 * E76, "")</f>
        <v>-2528.0898876404494</v>
      </c>
      <c r="G76" s="105">
        <v>525</v>
      </c>
      <c r="H76" s="103">
        <f>IF(ISNUMBER(G76), (G76 - $B76) / $B76, "")</f>
        <v>-1.6853932584269662E-2</v>
      </c>
      <c r="I76" s="106">
        <f>IF(ISNUMBER(G76), $B91 * H76, "")</f>
        <v>-2528.0898876404494</v>
      </c>
      <c r="J76" s="102">
        <v>517</v>
      </c>
      <c r="K76" s="103">
        <f>IF(ISNUMBER(J76), (J76 - $B76) / $B76, "")</f>
        <v>-3.1835205992509365E-2</v>
      </c>
      <c r="L76" s="104">
        <f>IF(ISNUMBER(J76), $B91 * K76, "")</f>
        <v>-4775.2808988764045</v>
      </c>
      <c r="M76" s="105">
        <v>511</v>
      </c>
      <c r="N76" s="103">
        <f>IF(ISNUMBER(M76), (M76 - $B76) / $B76, "")</f>
        <v>-4.307116104868914E-2</v>
      </c>
      <c r="O76" s="104">
        <f>IF(ISNUMBER(M76), $B91 * N76, "")</f>
        <v>-6460.6741573033705</v>
      </c>
      <c r="Q76" s="275"/>
      <c r="R76" s="275"/>
      <c r="S76" s="275"/>
    </row>
    <row r="77" spans="1:19" ht="17.25" thickBot="1">
      <c r="A77" s="124" t="s">
        <v>264</v>
      </c>
      <c r="B77" s="125">
        <v>184</v>
      </c>
      <c r="C77" s="73">
        <v>2.7932960900000001E-2</v>
      </c>
      <c r="D77" s="15">
        <v>176</v>
      </c>
      <c r="E77" s="32">
        <f t="shared" ref="E77:E80" si="34">IF(ISNUMBER(D77), (D77 - $B77) / $B77, "")</f>
        <v>-4.3478260869565216E-2</v>
      </c>
      <c r="F77" s="18">
        <f>IF(ISNUMBER(D77), $B91 * E77, "")</f>
        <v>-6521.7391304347821</v>
      </c>
      <c r="G77" s="31">
        <v>175</v>
      </c>
      <c r="H77" s="32">
        <f t="shared" ref="H77:H80" si="35">IF(ISNUMBER(G77), (G77 - $B77) / $B77, "")</f>
        <v>-4.8913043478260872E-2</v>
      </c>
      <c r="I77" s="97">
        <f>IF(ISNUMBER(G77), $B91 * H77, "")</f>
        <v>-7336.9565217391309</v>
      </c>
      <c r="J77" s="15">
        <v>172</v>
      </c>
      <c r="K77" s="32">
        <f t="shared" ref="K77:K80" si="36">IF(ISNUMBER(J77), (J77 - $B77) / $B77, "")</f>
        <v>-6.5217391304347824E-2</v>
      </c>
      <c r="L77" s="18">
        <f>IF(ISNUMBER(J77), $B91 * K77, "")</f>
        <v>-9782.608695652174</v>
      </c>
      <c r="M77" s="31">
        <v>175</v>
      </c>
      <c r="N77" s="32">
        <f t="shared" ref="N77:N80" si="37">IF(ISNUMBER(M77), (M77 - $B77) / $B77, "")</f>
        <v>-4.8913043478260872E-2</v>
      </c>
      <c r="O77" s="18">
        <f>IF(ISNUMBER(M77), $B91 * N77, "")</f>
        <v>-7336.9565217391309</v>
      </c>
      <c r="Q77" s="275"/>
      <c r="R77" s="275"/>
      <c r="S77" s="275"/>
    </row>
    <row r="78" spans="1:19" ht="17.25" thickBot="1">
      <c r="A78" s="124" t="s">
        <v>212</v>
      </c>
      <c r="B78" s="125">
        <v>152</v>
      </c>
      <c r="C78" s="73">
        <v>2.7027026999999999E-2</v>
      </c>
      <c r="D78" s="15">
        <v>144</v>
      </c>
      <c r="E78" s="32">
        <f t="shared" si="34"/>
        <v>-5.2631578947368418E-2</v>
      </c>
      <c r="F78" s="18">
        <f>IF(ISNUMBER(D78), $B91 * E78, "")</f>
        <v>-7894.7368421052624</v>
      </c>
      <c r="G78" s="31">
        <v>142</v>
      </c>
      <c r="H78" s="32">
        <f t="shared" si="35"/>
        <v>-6.5789473684210523E-2</v>
      </c>
      <c r="I78" s="97">
        <f>IF(ISNUMBER(G78), $B91 * H78, "")</f>
        <v>-9868.4210526315783</v>
      </c>
      <c r="J78" s="15">
        <v>139</v>
      </c>
      <c r="K78" s="32">
        <f t="shared" si="36"/>
        <v>-8.5526315789473686E-2</v>
      </c>
      <c r="L78" s="18">
        <f>IF(ISNUMBER(J78), $B91 * K78, "")</f>
        <v>-12828.947368421053</v>
      </c>
      <c r="M78" s="31">
        <v>141</v>
      </c>
      <c r="N78" s="32">
        <f t="shared" si="37"/>
        <v>-7.2368421052631582E-2</v>
      </c>
      <c r="O78" s="18">
        <f>IF(ISNUMBER(M78), $B91 * N78, "")</f>
        <v>-10855.263157894737</v>
      </c>
      <c r="Q78" s="275"/>
      <c r="R78" s="275"/>
      <c r="S78" s="275"/>
    </row>
    <row r="79" spans="1:19" ht="17.25" thickBot="1">
      <c r="A79" s="124" t="s">
        <v>270</v>
      </c>
      <c r="B79" s="125">
        <v>617</v>
      </c>
      <c r="C79" s="73">
        <v>2.6622296199999999E-2</v>
      </c>
      <c r="D79" s="15">
        <v>601</v>
      </c>
      <c r="E79" s="32">
        <f t="shared" si="34"/>
        <v>-2.5931928687196109E-2</v>
      </c>
      <c r="F79" s="18">
        <f>IF(ISNUMBER(D79), $B91 * E79, "")</f>
        <v>-3889.7893030794162</v>
      </c>
      <c r="G79" s="31">
        <v>602</v>
      </c>
      <c r="H79" s="32">
        <f t="shared" si="35"/>
        <v>-2.4311183144246355E-2</v>
      </c>
      <c r="I79" s="97">
        <f>IF(ISNUMBER(G79), $B91 * H79, "")</f>
        <v>-3646.6774716369532</v>
      </c>
      <c r="J79" s="15">
        <v>592</v>
      </c>
      <c r="K79" s="32">
        <f t="shared" si="36"/>
        <v>-4.0518638573743923E-2</v>
      </c>
      <c r="L79" s="18">
        <f>IF(ISNUMBER(J79), $B91 * K79, "")</f>
        <v>-6077.7957860615888</v>
      </c>
      <c r="M79" s="31">
        <v>593</v>
      </c>
      <c r="N79" s="32">
        <f t="shared" si="37"/>
        <v>-3.8897893030794169E-2</v>
      </c>
      <c r="O79" s="18">
        <f>IF(ISNUMBER(M79), $B91 * N79, "")</f>
        <v>-5834.683954619125</v>
      </c>
      <c r="Q79" s="33"/>
      <c r="R79" s="33"/>
    </row>
    <row r="80" spans="1:19" ht="17.25" thickBot="1">
      <c r="A80" s="129" t="s">
        <v>148</v>
      </c>
      <c r="B80" s="130">
        <v>198</v>
      </c>
      <c r="C80" s="75">
        <v>1.5384615399999999E-2</v>
      </c>
      <c r="D80" s="24">
        <v>195</v>
      </c>
      <c r="E80" s="25">
        <f t="shared" si="34"/>
        <v>-1.5151515151515152E-2</v>
      </c>
      <c r="F80" s="100">
        <f>IF(ISNUMBER(D80), $B91 * E80, "")</f>
        <v>-2272.727272727273</v>
      </c>
      <c r="G80" s="98">
        <v>195</v>
      </c>
      <c r="H80" s="25">
        <f t="shared" si="35"/>
        <v>-1.5151515151515152E-2</v>
      </c>
      <c r="I80" s="99">
        <f>IF(ISNUMBER(G80), $B91 * H80, "")</f>
        <v>-2272.727272727273</v>
      </c>
      <c r="J80" s="24">
        <v>192</v>
      </c>
      <c r="K80" s="25">
        <f t="shared" si="36"/>
        <v>-3.0303030303030304E-2</v>
      </c>
      <c r="L80" s="100">
        <f>IF(ISNUMBER(J80), $B91 * K80, "")</f>
        <v>-4545.454545454546</v>
      </c>
      <c r="M80" s="98">
        <v>194</v>
      </c>
      <c r="N80" s="25">
        <f t="shared" si="37"/>
        <v>-2.0202020202020204E-2</v>
      </c>
      <c r="O80" s="100">
        <f>IF(ISNUMBER(M80), $B91 * N80, "")</f>
        <v>-3030.3030303030305</v>
      </c>
      <c r="Q80" s="284"/>
      <c r="R80" s="285"/>
      <c r="S80" s="286"/>
    </row>
    <row r="81" spans="1:19">
      <c r="A81" s="122" t="s">
        <v>116</v>
      </c>
      <c r="B81" s="123">
        <v>665</v>
      </c>
      <c r="C81" s="72">
        <v>1.3719512200000001E-2</v>
      </c>
      <c r="D81" s="13">
        <v>661</v>
      </c>
      <c r="E81" s="14">
        <f>IF(ISNUMBER(D81), (D81 - $B81) / $B81, "")</f>
        <v>-6.0150375939849628E-3</v>
      </c>
      <c r="F81" s="16">
        <f>IF(ISNUMBER(D81), $B91 * E81, "")</f>
        <v>-902.25563909774439</v>
      </c>
      <c r="G81" s="29">
        <v>648</v>
      </c>
      <c r="H81" s="14">
        <f>IF(ISNUMBER(G81), (G81 - $B81) / $B81, "")</f>
        <v>-2.5563909774436091E-2</v>
      </c>
      <c r="I81" s="96">
        <f>IF(ISNUMBER(G81), $B91 * H81, "")</f>
        <v>-3834.5864661654136</v>
      </c>
      <c r="J81" s="13">
        <v>637</v>
      </c>
      <c r="K81" s="14">
        <f>IF(ISNUMBER(J81), (J81 - $B81) / $B81, "")</f>
        <v>-4.2105263157894736E-2</v>
      </c>
      <c r="L81" s="16">
        <f>IF(ISNUMBER(J81), $B91 * K81, "")</f>
        <v>-6315.78947368421</v>
      </c>
      <c r="M81" s="29">
        <v>640</v>
      </c>
      <c r="N81" s="14">
        <f>IF(ISNUMBER(M81), (M81 - $B81) / $B81, "")</f>
        <v>-3.7593984962406013E-2</v>
      </c>
      <c r="O81" s="16">
        <f>IF(ISNUMBER(M81), $B91 * N81, "")</f>
        <v>-5639.0977443609017</v>
      </c>
      <c r="Q81" s="287"/>
      <c r="R81" s="288"/>
      <c r="S81" s="289"/>
    </row>
    <row r="82" spans="1:19" ht="17.25" thickBot="1">
      <c r="A82" s="124" t="s">
        <v>120</v>
      </c>
      <c r="B82" s="125">
        <v>228</v>
      </c>
      <c r="C82" s="73">
        <v>8.8495575000000007E-3</v>
      </c>
      <c r="D82" s="15">
        <v>217</v>
      </c>
      <c r="E82" s="32">
        <f t="shared" ref="E82:E85" si="38">IF(ISNUMBER(D82), (D82 - $B82) / $B82, "")</f>
        <v>-4.8245614035087717E-2</v>
      </c>
      <c r="F82" s="18">
        <f>IF(ISNUMBER(D82), $B91 * E82, "")</f>
        <v>-7236.8421052631575</v>
      </c>
      <c r="G82" s="31">
        <v>214</v>
      </c>
      <c r="H82" s="32">
        <f t="shared" ref="H82:H85" si="39">IF(ISNUMBER(G82), (G82 - $B82) / $B82, "")</f>
        <v>-6.1403508771929821E-2</v>
      </c>
      <c r="I82" s="97">
        <f>IF(ISNUMBER(G82), $B91 * H82, "")</f>
        <v>-9210.5263157894733</v>
      </c>
      <c r="J82" s="15">
        <v>216</v>
      </c>
      <c r="K82" s="32">
        <f t="shared" ref="K82:K85" si="40">IF(ISNUMBER(J82), (J82 - $B82) / $B82, "")</f>
        <v>-5.2631578947368418E-2</v>
      </c>
      <c r="L82" s="18">
        <f>IF(ISNUMBER(J82), $B91 * K82, "")</f>
        <v>-7894.7368421052624</v>
      </c>
      <c r="M82" s="31">
        <v>216</v>
      </c>
      <c r="N82" s="32">
        <f t="shared" ref="N82:N85" si="41">IF(ISNUMBER(M82), (M82 - $B82) / $B82, "")</f>
        <v>-5.2631578947368418E-2</v>
      </c>
      <c r="O82" s="18">
        <f>IF(ISNUMBER(M82), $B91 * N82, "")</f>
        <v>-7894.7368421052624</v>
      </c>
      <c r="Q82" s="290"/>
      <c r="R82" s="291"/>
      <c r="S82" s="292"/>
    </row>
    <row r="83" spans="1:19" ht="17.25" thickBot="1">
      <c r="A83" s="124" t="s">
        <v>250</v>
      </c>
      <c r="B83" s="125">
        <v>211</v>
      </c>
      <c r="C83" s="73">
        <v>4.7619048000000002E-3</v>
      </c>
      <c r="D83" s="15">
        <v>204</v>
      </c>
      <c r="E83" s="32">
        <f t="shared" si="38"/>
        <v>-3.3175355450236969E-2</v>
      </c>
      <c r="F83" s="18">
        <f>IF(ISNUMBER(D83), $B91 * E83, "")</f>
        <v>-4976.3033175355458</v>
      </c>
      <c r="G83" s="31">
        <v>202</v>
      </c>
      <c r="H83" s="32">
        <f t="shared" si="39"/>
        <v>-4.2654028436018961E-2</v>
      </c>
      <c r="I83" s="97">
        <f>IF(ISNUMBER(G83), $B91 * H83, "")</f>
        <v>-6398.1042654028442</v>
      </c>
      <c r="J83" s="15">
        <v>198</v>
      </c>
      <c r="K83" s="32">
        <f t="shared" si="40"/>
        <v>-6.1611374407582936E-2</v>
      </c>
      <c r="L83" s="18">
        <f>IF(ISNUMBER(J83), $B91 * K83, "")</f>
        <v>-9241.7061611374411</v>
      </c>
      <c r="M83" s="31">
        <v>199</v>
      </c>
      <c r="N83" s="32">
        <f t="shared" si="41"/>
        <v>-5.6872037914691941E-2</v>
      </c>
      <c r="O83" s="18">
        <f>IF(ISNUMBER(M83), $B91 * N83, "")</f>
        <v>-8530.8056872037905</v>
      </c>
      <c r="Q83" s="275"/>
      <c r="R83" s="275"/>
      <c r="S83" s="275"/>
    </row>
    <row r="84" spans="1:19" ht="17.25" thickBot="1">
      <c r="A84" s="124" t="s">
        <v>156</v>
      </c>
      <c r="B84" s="125">
        <v>178</v>
      </c>
      <c r="C84" s="73">
        <v>0</v>
      </c>
      <c r="D84" s="15">
        <v>173</v>
      </c>
      <c r="E84" s="32">
        <f t="shared" si="38"/>
        <v>-2.8089887640449437E-2</v>
      </c>
      <c r="F84" s="18">
        <f>IF(ISNUMBER(D84), $B91 * E84, "")</f>
        <v>-4213.4831460674159</v>
      </c>
      <c r="G84" s="31">
        <v>174</v>
      </c>
      <c r="H84" s="32">
        <f t="shared" si="39"/>
        <v>-2.247191011235955E-2</v>
      </c>
      <c r="I84" s="97">
        <f>IF(ISNUMBER(G84), $B91 * H84, "")</f>
        <v>-3370.7865168539324</v>
      </c>
      <c r="J84" s="15">
        <v>172</v>
      </c>
      <c r="K84" s="32">
        <f t="shared" si="40"/>
        <v>-3.3707865168539325E-2</v>
      </c>
      <c r="L84" s="18">
        <f>IF(ISNUMBER(J84), $B91 * K84, "")</f>
        <v>-5056.1797752808989</v>
      </c>
      <c r="M84" s="31">
        <v>172</v>
      </c>
      <c r="N84" s="32">
        <f t="shared" si="41"/>
        <v>-3.3707865168539325E-2</v>
      </c>
      <c r="O84" s="18">
        <f>IF(ISNUMBER(M84), $B91 * N84, "")</f>
        <v>-5056.1797752808989</v>
      </c>
      <c r="Q84" s="270"/>
      <c r="R84" s="270"/>
      <c r="S84" s="270"/>
    </row>
    <row r="85" spans="1:19" ht="17.25" thickBot="1">
      <c r="A85" s="126" t="s">
        <v>278</v>
      </c>
      <c r="B85" s="127">
        <v>171</v>
      </c>
      <c r="C85" s="74">
        <v>0</v>
      </c>
      <c r="D85" s="20">
        <v>166</v>
      </c>
      <c r="E85" s="21">
        <f t="shared" si="38"/>
        <v>-2.9239766081871343E-2</v>
      </c>
      <c r="F85" s="22">
        <f>IF(ISNUMBER(D85), $B91 * E85, "")</f>
        <v>-4385.9649122807014</v>
      </c>
      <c r="G85" s="30">
        <v>167</v>
      </c>
      <c r="H85" s="21">
        <f t="shared" si="39"/>
        <v>-2.3391812865497075E-2</v>
      </c>
      <c r="I85" s="101">
        <f>IF(ISNUMBER(G85), $B91 * H85, "")</f>
        <v>-3508.7719298245611</v>
      </c>
      <c r="J85" s="20">
        <v>163</v>
      </c>
      <c r="K85" s="21">
        <f t="shared" si="40"/>
        <v>-4.6783625730994149E-2</v>
      </c>
      <c r="L85" s="22">
        <f>IF(ISNUMBER(J85), $B91 * K85, "")</f>
        <v>-7017.5438596491222</v>
      </c>
      <c r="M85" s="30">
        <v>163</v>
      </c>
      <c r="N85" s="21">
        <f t="shared" si="41"/>
        <v>-4.6783625730994149E-2</v>
      </c>
      <c r="O85" s="22">
        <f>IF(ISNUMBER(M85), $B91 * N85, "")</f>
        <v>-7017.5438596491222</v>
      </c>
      <c r="Q85" s="270"/>
      <c r="R85" s="270"/>
      <c r="S85" s="270"/>
    </row>
    <row r="86" spans="1:19" ht="17.25" thickBot="1">
      <c r="A86" s="124" t="s">
        <v>202</v>
      </c>
      <c r="B86" s="128">
        <v>206</v>
      </c>
      <c r="C86" s="76">
        <v>0</v>
      </c>
      <c r="D86" s="102">
        <v>204</v>
      </c>
      <c r="E86" s="103">
        <f>IF(ISNUMBER(D86), (D86 - $B86) / $B86, "")</f>
        <v>-9.7087378640776691E-3</v>
      </c>
      <c r="F86" s="104">
        <f>IF(ISNUMBER(D86), $B91 * E86, "")</f>
        <v>-1456.3106796116504</v>
      </c>
      <c r="G86" s="105">
        <v>200</v>
      </c>
      <c r="H86" s="103">
        <f>IF(ISNUMBER(G86), (G86 - $B86) / $B86, "")</f>
        <v>-2.9126213592233011E-2</v>
      </c>
      <c r="I86" s="106">
        <f>IF(ISNUMBER(G86), $B91 * H86, "")</f>
        <v>-4368.9320388349515</v>
      </c>
      <c r="J86" s="102">
        <v>194</v>
      </c>
      <c r="K86" s="103">
        <f>IF(ISNUMBER(J86), (J86 - $B86) / $B86, "")</f>
        <v>-5.8252427184466021E-2</v>
      </c>
      <c r="L86" s="104">
        <f>IF(ISNUMBER(J86), $B91 * K86, "")</f>
        <v>-8737.8640776699031</v>
      </c>
      <c r="M86" s="105">
        <v>196</v>
      </c>
      <c r="N86" s="103">
        <f>IF(ISNUMBER(M86), (M86 - $B86) / $B86, "")</f>
        <v>-4.8543689320388349E-2</v>
      </c>
      <c r="O86" s="104">
        <f>IF(ISNUMBER(M86), $B91 * N86, "")</f>
        <v>-7281.5533980582522</v>
      </c>
      <c r="Q86" s="275"/>
      <c r="R86" s="275"/>
      <c r="S86" s="275"/>
    </row>
    <row r="87" spans="1:19" ht="17.25" thickBot="1">
      <c r="A87" s="124" t="s">
        <v>88</v>
      </c>
      <c r="B87" s="125">
        <v>603</v>
      </c>
      <c r="C87" s="73">
        <v>-3.3057850999999999E-3</v>
      </c>
      <c r="D87" s="15">
        <v>597</v>
      </c>
      <c r="E87" s="32">
        <f t="shared" ref="E87:E90" si="42">IF(ISNUMBER(D87), (D87 - $B87) / $B87, "")</f>
        <v>-9.9502487562189053E-3</v>
      </c>
      <c r="F87" s="18">
        <f>IF(ISNUMBER(D87), $B91 * E87, "")</f>
        <v>-1492.5373134328358</v>
      </c>
      <c r="G87" s="31">
        <v>595</v>
      </c>
      <c r="H87" s="32">
        <f t="shared" ref="H87:H90" si="43">IF(ISNUMBER(G87), (G87 - $B87) / $B87, "")</f>
        <v>-1.3266998341625208E-2</v>
      </c>
      <c r="I87" s="97">
        <f>IF(ISNUMBER(G87), $B91 * H87, "")</f>
        <v>-1990.0497512437812</v>
      </c>
      <c r="J87" s="15">
        <v>589</v>
      </c>
      <c r="K87" s="32">
        <f t="shared" ref="K87:K90" si="44">IF(ISNUMBER(J87), (J87 - $B87) / $B87, "")</f>
        <v>-2.3217247097844111E-2</v>
      </c>
      <c r="L87" s="18">
        <f>IF(ISNUMBER(J87), $B91 * K87, "")</f>
        <v>-3482.5870646766166</v>
      </c>
      <c r="M87" s="31">
        <v>592</v>
      </c>
      <c r="N87" s="32">
        <f t="shared" ref="N87:N90" si="45">IF(ISNUMBER(M87), (M87 - $B87) / $B87, "")</f>
        <v>-1.824212271973466E-2</v>
      </c>
      <c r="O87" s="18">
        <f>IF(ISNUMBER(M87), $B91 * N87, "")</f>
        <v>-2736.3184079601992</v>
      </c>
      <c r="Q87" s="275"/>
      <c r="R87" s="275"/>
      <c r="S87" s="275"/>
    </row>
    <row r="88" spans="1:19" ht="17.25" thickBot="1">
      <c r="A88" s="124" t="s">
        <v>238</v>
      </c>
      <c r="B88" s="125">
        <v>294</v>
      </c>
      <c r="C88" s="73">
        <v>-3.3898305000000001E-3</v>
      </c>
      <c r="D88" s="15">
        <v>283</v>
      </c>
      <c r="E88" s="32">
        <f t="shared" si="42"/>
        <v>-3.7414965986394558E-2</v>
      </c>
      <c r="F88" s="18">
        <f>IF(ISNUMBER(D88), $B91 * E88, "")</f>
        <v>-5612.2448979591836</v>
      </c>
      <c r="G88" s="31">
        <v>280</v>
      </c>
      <c r="H88" s="32">
        <f t="shared" si="43"/>
        <v>-4.7619047619047616E-2</v>
      </c>
      <c r="I88" s="97">
        <f>IF(ISNUMBER(G88), $B91 * H88, "")</f>
        <v>-7142.8571428571422</v>
      </c>
      <c r="J88" s="15">
        <v>276</v>
      </c>
      <c r="K88" s="32">
        <f t="shared" si="44"/>
        <v>-6.1224489795918366E-2</v>
      </c>
      <c r="L88" s="18">
        <f>IF(ISNUMBER(J88), $B91 * K88, "")</f>
        <v>-9183.6734693877552</v>
      </c>
      <c r="M88" s="31">
        <v>277</v>
      </c>
      <c r="N88" s="32">
        <f t="shared" si="45"/>
        <v>-5.7823129251700682E-2</v>
      </c>
      <c r="O88" s="18">
        <f>IF(ISNUMBER(M88), $B91 * N88, "")</f>
        <v>-8673.4693877551017</v>
      </c>
      <c r="Q88" s="275"/>
      <c r="R88" s="275"/>
      <c r="S88" s="275"/>
    </row>
    <row r="89" spans="1:19">
      <c r="A89" s="124" t="s">
        <v>112</v>
      </c>
      <c r="B89" s="125">
        <v>260</v>
      </c>
      <c r="C89" s="73">
        <v>-3.8314175999999999E-3</v>
      </c>
      <c r="D89" s="15">
        <v>254</v>
      </c>
      <c r="E89" s="32">
        <f t="shared" si="42"/>
        <v>-2.3076923076923078E-2</v>
      </c>
      <c r="F89" s="18">
        <f>IF(ISNUMBER(D89), $B91 * E89, "")</f>
        <v>-3461.5384615384619</v>
      </c>
      <c r="G89" s="31">
        <v>252</v>
      </c>
      <c r="H89" s="32">
        <f t="shared" si="43"/>
        <v>-3.0769230769230771E-2</v>
      </c>
      <c r="I89" s="97">
        <f>IF(ISNUMBER(G89), $B91 * H89, "")</f>
        <v>-4615.3846153846152</v>
      </c>
      <c r="J89" s="15">
        <v>247</v>
      </c>
      <c r="K89" s="32">
        <f t="shared" si="44"/>
        <v>-0.05</v>
      </c>
      <c r="L89" s="18">
        <f>IF(ISNUMBER(J89), $B91 * K89, "")</f>
        <v>-7500</v>
      </c>
      <c r="M89" s="31">
        <v>252</v>
      </c>
      <c r="N89" s="32">
        <f t="shared" si="45"/>
        <v>-3.0769230769230771E-2</v>
      </c>
      <c r="O89" s="18">
        <f>IF(ISNUMBER(M89), $B91 * N89, "")</f>
        <v>-4615.3846153846152</v>
      </c>
      <c r="Q89" s="297"/>
      <c r="R89" s="298"/>
      <c r="S89" s="299"/>
    </row>
    <row r="90" spans="1:19" ht="17.25" thickBot="1">
      <c r="A90" s="129" t="s">
        <v>168</v>
      </c>
      <c r="B90" s="130">
        <v>243</v>
      </c>
      <c r="C90" s="75">
        <v>-4.0983607000000003E-3</v>
      </c>
      <c r="D90" s="24">
        <v>236</v>
      </c>
      <c r="E90" s="25">
        <f t="shared" si="42"/>
        <v>-2.8806584362139918E-2</v>
      </c>
      <c r="F90" s="100">
        <f>IF(ISNUMBER(D90), $B91 * E90, "")</f>
        <v>-4320.9876543209875</v>
      </c>
      <c r="G90" s="98">
        <v>235</v>
      </c>
      <c r="H90" s="25">
        <f t="shared" si="43"/>
        <v>-3.292181069958848E-2</v>
      </c>
      <c r="I90" s="99">
        <f>IF(ISNUMBER(G90), $B91 * H90, "")</f>
        <v>-4938.2716049382716</v>
      </c>
      <c r="J90" s="24">
        <v>230</v>
      </c>
      <c r="K90" s="25">
        <f t="shared" si="44"/>
        <v>-5.3497942386831275E-2</v>
      </c>
      <c r="L90" s="100">
        <f>IF(ISNUMBER(J90), $B91 * K90, "")</f>
        <v>-8024.691358024691</v>
      </c>
      <c r="M90" s="98">
        <v>231</v>
      </c>
      <c r="N90" s="25">
        <f t="shared" si="45"/>
        <v>-4.9382716049382713E-2</v>
      </c>
      <c r="O90" s="100">
        <f>IF(ISNUMBER(M90), $B91 * N90, "")</f>
        <v>-7407.4074074074069</v>
      </c>
      <c r="Q90" s="300"/>
      <c r="R90" s="301"/>
      <c r="S90" s="302"/>
    </row>
    <row r="91" spans="1:19" ht="17.25" thickBot="1">
      <c r="A91" s="131" t="s">
        <v>301</v>
      </c>
      <c r="B91" s="308">
        <f>$B$37</f>
        <v>150000</v>
      </c>
      <c r="C91" s="309"/>
      <c r="D91" s="26" t="s">
        <v>302</v>
      </c>
      <c r="E91" s="27">
        <f>IF(COUNT(E71:E90), SUM(E71:E90) / COUNT(E71:E90), 0)</f>
        <v>-3.578479527097992E-2</v>
      </c>
      <c r="F91" s="28">
        <f>SUM(F71:F90)</f>
        <v>-107354.3858129398</v>
      </c>
      <c r="G91" s="26" t="s">
        <v>302</v>
      </c>
      <c r="H91" s="27">
        <f>IF(COUNT(H71:H90), SUM(H71:H90) / COUNT(H71:H90), 0)</f>
        <v>-4.6036551767165E-2</v>
      </c>
      <c r="I91" s="28">
        <f>SUM(I71:I90)</f>
        <v>-138109.65530149502</v>
      </c>
      <c r="J91" s="26" t="s">
        <v>302</v>
      </c>
      <c r="K91" s="27">
        <f>IF(COUNT(K71:K90), SUM(K71:K90) / COUNT(K71:K90), 0)</f>
        <v>-6.1998934820175419E-2</v>
      </c>
      <c r="L91" s="28">
        <f>SUM(L71:L90)</f>
        <v>-185996.8044605263</v>
      </c>
      <c r="M91" s="26" t="s">
        <v>302</v>
      </c>
      <c r="N91" s="27">
        <f>IF(COUNT(N71:N90), SUM(N71:N90) / COUNT(N71:N90), 0)</f>
        <v>-5.6042351653104616E-2</v>
      </c>
      <c r="O91" s="28">
        <f>SUM(O71:O90)</f>
        <v>-168127.05495931386</v>
      </c>
      <c r="Q91" s="303"/>
      <c r="R91" s="304"/>
      <c r="S91" s="305"/>
    </row>
    <row r="93" spans="1:19" ht="17.25" thickBot="1"/>
    <row r="94" spans="1:19" ht="17.25" thickBot="1">
      <c r="A94" s="249" t="s">
        <v>46</v>
      </c>
      <c r="B94" s="250"/>
      <c r="C94" s="250"/>
      <c r="D94" s="250"/>
      <c r="E94" s="250"/>
      <c r="F94" s="250"/>
      <c r="G94" s="250"/>
      <c r="H94" s="250"/>
      <c r="I94" s="250"/>
      <c r="J94" s="250"/>
      <c r="K94" s="250"/>
      <c r="L94" s="250"/>
      <c r="M94" s="250"/>
      <c r="N94" s="250"/>
      <c r="O94" s="251"/>
      <c r="Q94" s="270"/>
      <c r="R94" s="270"/>
      <c r="S94" s="270"/>
    </row>
    <row r="95" spans="1:19" ht="17.25" thickBot="1">
      <c r="A95" s="171" t="s">
        <v>298</v>
      </c>
      <c r="B95" s="249" t="s">
        <v>49</v>
      </c>
      <c r="C95" s="251"/>
      <c r="D95" s="249" t="s">
        <v>58</v>
      </c>
      <c r="E95" s="250"/>
      <c r="F95" s="251"/>
      <c r="G95" s="276">
        <f>_xlfn.IFNA(VLOOKUP(B95, 현재가테이블!$B$2:$D$200, 2, FALSE), "-")</f>
        <v>60874000</v>
      </c>
      <c r="H95" s="277"/>
      <c r="I95" s="278"/>
      <c r="J95" s="249" t="s">
        <v>59</v>
      </c>
      <c r="K95" s="250"/>
      <c r="L95" s="251"/>
      <c r="M95" s="279">
        <f>_xlfn.IFNA(VLOOKUP(B95, 현재가테이블!$B$2:$D$200, 3, FALSE), "-")</f>
        <v>-1.4936000099999999E-2</v>
      </c>
      <c r="N95" s="280"/>
      <c r="O95" s="281"/>
      <c r="Q95" s="270"/>
      <c r="R95" s="270"/>
      <c r="S95" s="270"/>
    </row>
    <row r="96" spans="1:19" ht="17.25" thickBot="1">
      <c r="A96" s="310" t="s">
        <v>55</v>
      </c>
      <c r="B96" s="312" t="str">
        <f>TEXT($G$1, "[$-ko-KR]yyyy-mm-dd(ddd) ") &amp; "오전 00:00"</f>
        <v>2021-05-09(일) 오전 00:00</v>
      </c>
      <c r="C96" s="313"/>
      <c r="D96" s="272" t="str">
        <f>TEXT($G$1, "[$-ko-KR]yyyy-mm-dd(ddd) ") &amp; "오후 14:00"</f>
        <v>2021-05-09(일) 오후 14:00</v>
      </c>
      <c r="E96" s="273"/>
      <c r="F96" s="274"/>
      <c r="G96" s="272" t="str">
        <f>TEXT($G$1, "[$-ko-KR]yyyy-mm-dd(ddd) ") &amp; "오후 19:00"</f>
        <v>2021-05-09(일) 오후 19:00</v>
      </c>
      <c r="H96" s="273"/>
      <c r="I96" s="274"/>
      <c r="J96" s="272" t="str">
        <f>TEXT($G$1, "[$-ko-KR]yyyy-mm-dd(ddd) ") &amp; "오후 21:00"</f>
        <v>2021-05-09(일) 오후 21:00</v>
      </c>
      <c r="K96" s="273"/>
      <c r="L96" s="274"/>
      <c r="M96" s="272" t="str">
        <f>TEXT($G$1+1, "[$-ko-KR]yyyy-mm-dd(ddd) ") &amp; "오전 00:00"</f>
        <v>2021-05-10(월) 오전 00:00</v>
      </c>
      <c r="N96" s="273"/>
      <c r="O96" s="274"/>
      <c r="Q96" s="270"/>
      <c r="R96" s="270"/>
      <c r="S96" s="270"/>
    </row>
    <row r="97" spans="1:19" ht="17.25" thickBot="1">
      <c r="A97" s="311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72" t="s">
        <v>58</v>
      </c>
      <c r="H97" s="173" t="s">
        <v>299</v>
      </c>
      <c r="I97" s="17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75"/>
      <c r="R97" s="275"/>
      <c r="S97" s="275"/>
    </row>
    <row r="98" spans="1:19" ht="17.25" thickBot="1">
      <c r="A98" s="122" t="s">
        <v>248</v>
      </c>
      <c r="B98" s="123">
        <v>4675</v>
      </c>
      <c r="C98" s="72">
        <v>0.21744791669999999</v>
      </c>
      <c r="D98" s="13">
        <v>4195</v>
      </c>
      <c r="E98" s="14">
        <f>IF(ISNUMBER(D98), (D98 - $B98) / $B98, "")</f>
        <v>-0.10267379679144385</v>
      </c>
      <c r="F98" s="16">
        <f>IF(ISNUMBER(D98), $B118 * E98, "")</f>
        <v>-15401.069518716578</v>
      </c>
      <c r="G98" s="29">
        <v>4320</v>
      </c>
      <c r="H98" s="14">
        <f>IF(ISNUMBER(G98), (G98 - $B98) / $B98, "")</f>
        <v>-7.5935828877005354E-2</v>
      </c>
      <c r="I98" s="96">
        <f>IF(ISNUMBER(G98), $B118 * H98, "")</f>
        <v>-11390.374331550804</v>
      </c>
      <c r="J98" s="13">
        <v>4270</v>
      </c>
      <c r="K98" s="14">
        <f>IF(ISNUMBER(J98), (J98 - $B98) / $B98, "")</f>
        <v>-8.6631016042780742E-2</v>
      </c>
      <c r="L98" s="16">
        <f>IF(ISNUMBER(J98), $B118 * K98, "")</f>
        <v>-12994.652406417112</v>
      </c>
      <c r="M98" s="29">
        <v>4185</v>
      </c>
      <c r="N98" s="14">
        <f>IF(ISNUMBER(M98), (M98 - $B98) / $B98, "")</f>
        <v>-0.10481283422459893</v>
      </c>
      <c r="O98" s="16">
        <f>IF(ISNUMBER(M98), $B118 * N98, "")</f>
        <v>-15721.92513368984</v>
      </c>
      <c r="Q98" s="270"/>
      <c r="R98" s="270"/>
      <c r="S98" s="270"/>
    </row>
    <row r="99" spans="1:19" ht="17.25" thickBot="1">
      <c r="A99" s="124" t="s">
        <v>262</v>
      </c>
      <c r="B99" s="125">
        <v>1555</v>
      </c>
      <c r="C99" s="73">
        <v>0.1309090909</v>
      </c>
      <c r="D99" s="15">
        <v>1460</v>
      </c>
      <c r="E99" s="32">
        <f t="shared" ref="E99:E102" si="46">IF(ISNUMBER(D99), (D99 - $B99) / $B99, "")</f>
        <v>-6.1093247588424437E-2</v>
      </c>
      <c r="F99" s="18">
        <f>IF(ISNUMBER(D99), $B118 * E99, "")</f>
        <v>-9163.9871382636647</v>
      </c>
      <c r="G99" s="31">
        <v>1420</v>
      </c>
      <c r="H99" s="32">
        <f t="shared" ref="H99:H102" si="47">IF(ISNUMBER(G99), (G99 - $B99) / $B99, "")</f>
        <v>-8.6816720257234734E-2</v>
      </c>
      <c r="I99" s="97">
        <f>IF(ISNUMBER(G99), $B118 * H99, "")</f>
        <v>-13022.508038585211</v>
      </c>
      <c r="J99" s="15">
        <v>1410</v>
      </c>
      <c r="K99" s="32">
        <f t="shared" ref="K99:K102" si="48">IF(ISNUMBER(J99), (J99 - $B99) / $B99, "")</f>
        <v>-9.3247588424437297E-2</v>
      </c>
      <c r="L99" s="18">
        <f>IF(ISNUMBER(J99), $B118 * K99, "")</f>
        <v>-13987.138263665594</v>
      </c>
      <c r="M99" s="31">
        <v>1420</v>
      </c>
      <c r="N99" s="32">
        <f t="shared" ref="N99:N102" si="49">IF(ISNUMBER(M99), (M99 - $B99) / $B99, "")</f>
        <v>-8.6816720257234734E-2</v>
      </c>
      <c r="O99" s="18">
        <f>IF(ISNUMBER(M99), $B118 * N99, "")</f>
        <v>-13022.508038585211</v>
      </c>
      <c r="Q99" s="270"/>
      <c r="R99" s="270"/>
      <c r="S99" s="270"/>
    </row>
    <row r="100" spans="1:19" ht="17.25" thickBot="1">
      <c r="A100" s="124" t="s">
        <v>182</v>
      </c>
      <c r="B100" s="125">
        <v>567</v>
      </c>
      <c r="C100" s="73">
        <v>9.0384615400000007E-2</v>
      </c>
      <c r="D100" s="15">
        <v>570</v>
      </c>
      <c r="E100" s="32">
        <f t="shared" si="46"/>
        <v>5.2910052910052907E-3</v>
      </c>
      <c r="F100" s="18">
        <f>IF(ISNUMBER(D100), $B118 * E100, "")</f>
        <v>793.65079365079362</v>
      </c>
      <c r="G100" s="31">
        <v>556</v>
      </c>
      <c r="H100" s="32">
        <f t="shared" si="47"/>
        <v>-1.9400352733686066E-2</v>
      </c>
      <c r="I100" s="97">
        <f>IF(ISNUMBER(G100), $B118 * H100, "")</f>
        <v>-2910.0529100529097</v>
      </c>
      <c r="J100" s="15">
        <v>552</v>
      </c>
      <c r="K100" s="32">
        <f t="shared" si="48"/>
        <v>-2.6455026455026454E-2</v>
      </c>
      <c r="L100" s="18">
        <f>IF(ISNUMBER(J100), $B118 * K100, "")</f>
        <v>-3968.2539682539682</v>
      </c>
      <c r="M100" s="31">
        <v>553</v>
      </c>
      <c r="N100" s="32">
        <f t="shared" si="49"/>
        <v>-2.4691358024691357E-2</v>
      </c>
      <c r="O100" s="18">
        <f>IF(ISNUMBER(M100), $B118 * N100, "")</f>
        <v>-3703.7037037037035</v>
      </c>
      <c r="Q100" s="275"/>
      <c r="R100" s="275"/>
      <c r="S100" s="275"/>
    </row>
    <row r="101" spans="1:19" ht="17.25" thickBot="1">
      <c r="A101" s="124" t="s">
        <v>276</v>
      </c>
      <c r="B101" s="125">
        <v>5600</v>
      </c>
      <c r="C101" s="73">
        <v>8.4220716400000006E-2</v>
      </c>
      <c r="D101" s="15">
        <v>5170</v>
      </c>
      <c r="E101" s="32">
        <f t="shared" si="46"/>
        <v>-7.678571428571429E-2</v>
      </c>
      <c r="F101" s="18">
        <f>IF(ISNUMBER(D101), $B118 * E101, "")</f>
        <v>-11517.857142857143</v>
      </c>
      <c r="G101" s="31">
        <v>5145</v>
      </c>
      <c r="H101" s="32">
        <f t="shared" si="47"/>
        <v>-8.1250000000000003E-2</v>
      </c>
      <c r="I101" s="97">
        <f>IF(ISNUMBER(G101), $B118 * H101, "")</f>
        <v>-12187.5</v>
      </c>
      <c r="J101" s="15">
        <v>4995</v>
      </c>
      <c r="K101" s="32">
        <f t="shared" si="48"/>
        <v>-0.10803571428571429</v>
      </c>
      <c r="L101" s="18">
        <f>IF(ISNUMBER(J101), $B118 * K101, "")</f>
        <v>-16205.357142857143</v>
      </c>
      <c r="M101" s="31">
        <v>4995</v>
      </c>
      <c r="N101" s="32">
        <f t="shared" si="49"/>
        <v>-0.10803571428571429</v>
      </c>
      <c r="O101" s="18">
        <f>IF(ISNUMBER(M101), $B118 * N101, "")</f>
        <v>-16205.357142857143</v>
      </c>
      <c r="Q101" s="275"/>
      <c r="R101" s="275"/>
      <c r="S101" s="275"/>
    </row>
    <row r="102" spans="1:19" ht="17.25" thickBot="1">
      <c r="A102" s="126" t="s">
        <v>114</v>
      </c>
      <c r="B102" s="127">
        <v>14800</v>
      </c>
      <c r="C102" s="74">
        <v>7.3241479299999995E-2</v>
      </c>
      <c r="D102" s="20">
        <v>14920</v>
      </c>
      <c r="E102" s="21">
        <f t="shared" si="46"/>
        <v>8.1081081081081086E-3</v>
      </c>
      <c r="F102" s="22">
        <f>IF(ISNUMBER(D102), $B118 * E102, "")</f>
        <v>1216.2162162162163</v>
      </c>
      <c r="G102" s="30">
        <v>14630</v>
      </c>
      <c r="H102" s="21">
        <f t="shared" si="47"/>
        <v>-1.1486486486486487E-2</v>
      </c>
      <c r="I102" s="101">
        <f>IF(ISNUMBER(G102), $B118 * H102, "")</f>
        <v>-1722.9729729729731</v>
      </c>
      <c r="J102" s="20">
        <v>14550</v>
      </c>
      <c r="K102" s="21">
        <f t="shared" si="48"/>
        <v>-1.6891891891891893E-2</v>
      </c>
      <c r="L102" s="22">
        <f>IF(ISNUMBER(J102), $B118 * K102, "")</f>
        <v>-2533.7837837837837</v>
      </c>
      <c r="M102" s="30">
        <v>14740</v>
      </c>
      <c r="N102" s="21">
        <f t="shared" si="49"/>
        <v>-4.0540540540540543E-3</v>
      </c>
      <c r="O102" s="22">
        <f>IF(ISNUMBER(M102), $B118 * N102, "")</f>
        <v>-608.10810810810813</v>
      </c>
      <c r="Q102" s="275"/>
      <c r="R102" s="275"/>
      <c r="S102" s="275"/>
    </row>
    <row r="103" spans="1:19" ht="17.25" thickBot="1">
      <c r="A103" s="124" t="s">
        <v>69</v>
      </c>
      <c r="B103" s="128">
        <v>13000</v>
      </c>
      <c r="C103" s="76">
        <v>6.9078947399999993E-2</v>
      </c>
      <c r="D103" s="102">
        <v>12780</v>
      </c>
      <c r="E103" s="103">
        <f>IF(ISNUMBER(D103), (D103 - $B103) / $B103, "")</f>
        <v>-1.6923076923076923E-2</v>
      </c>
      <c r="F103" s="104">
        <f>IF(ISNUMBER(D103), $B118 * E103, "")</f>
        <v>-2538.4615384615386</v>
      </c>
      <c r="G103" s="105">
        <v>12640</v>
      </c>
      <c r="H103" s="103">
        <f>IF(ISNUMBER(G103), (G103 - $B103) / $B103, "")</f>
        <v>-2.7692307692307693E-2</v>
      </c>
      <c r="I103" s="106">
        <f>IF(ISNUMBER(G103), $B118 * H103, "")</f>
        <v>-4153.8461538461543</v>
      </c>
      <c r="J103" s="102">
        <v>12500</v>
      </c>
      <c r="K103" s="103">
        <f>IF(ISNUMBER(J103), (J103 - $B103) / $B103, "")</f>
        <v>-3.8461538461538464E-2</v>
      </c>
      <c r="L103" s="104">
        <f>IF(ISNUMBER(J103), $B118 * K103, "")</f>
        <v>-5769.2307692307695</v>
      </c>
      <c r="M103" s="105">
        <v>12440</v>
      </c>
      <c r="N103" s="103">
        <f>IF(ISNUMBER(M103), (M103 - $B103) / $B103, "")</f>
        <v>-4.3076923076923075E-2</v>
      </c>
      <c r="O103" s="104">
        <f>IF(ISNUMBER(M103), $B118 * N103, "")</f>
        <v>-6461.538461538461</v>
      </c>
      <c r="Q103" s="275"/>
      <c r="R103" s="275"/>
      <c r="S103" s="275"/>
    </row>
    <row r="104" spans="1:19" ht="17.25" thickBot="1">
      <c r="A104" s="124" t="s">
        <v>180</v>
      </c>
      <c r="B104" s="125">
        <v>5075</v>
      </c>
      <c r="C104" s="73">
        <v>5.72916667E-2</v>
      </c>
      <c r="D104" s="15">
        <v>4955</v>
      </c>
      <c r="E104" s="32">
        <f t="shared" ref="E104:E107" si="50">IF(ISNUMBER(D104), (D104 - $B104) / $B104, "")</f>
        <v>-2.3645320197044337E-2</v>
      </c>
      <c r="F104" s="18">
        <f>IF(ISNUMBER(D104), $B118 * E104, "")</f>
        <v>-3546.7980295566504</v>
      </c>
      <c r="G104" s="31">
        <v>4905</v>
      </c>
      <c r="H104" s="32">
        <f t="shared" ref="H104:H107" si="51">IF(ISNUMBER(G104), (G104 - $B104) / $B104, "")</f>
        <v>-3.3497536945812804E-2</v>
      </c>
      <c r="I104" s="97">
        <f>IF(ISNUMBER(G104), $B118 * H104, "")</f>
        <v>-5024.6305418719203</v>
      </c>
      <c r="J104" s="15">
        <v>4795</v>
      </c>
      <c r="K104" s="32">
        <f t="shared" ref="K104:K107" si="52">IF(ISNUMBER(J104), (J104 - $B104) / $B104, "")</f>
        <v>-5.5172413793103448E-2</v>
      </c>
      <c r="L104" s="18">
        <f>IF(ISNUMBER(J104), $B118 * K104, "")</f>
        <v>-8275.8620689655163</v>
      </c>
      <c r="M104" s="31">
        <v>4785</v>
      </c>
      <c r="N104" s="32">
        <f t="shared" ref="N104:N107" si="53">IF(ISNUMBER(M104), (M104 - $B104) / $B104, "")</f>
        <v>-5.7142857142857141E-2</v>
      </c>
      <c r="O104" s="18">
        <f>IF(ISNUMBER(M104), $B118 * N104, "")</f>
        <v>-8571.4285714285706</v>
      </c>
      <c r="Q104" s="275"/>
      <c r="R104" s="275"/>
      <c r="S104" s="275"/>
    </row>
    <row r="105" spans="1:19" ht="17.25" thickBot="1">
      <c r="A105" s="124" t="s">
        <v>204</v>
      </c>
      <c r="B105" s="125">
        <v>8320</v>
      </c>
      <c r="C105" s="73">
        <v>5.3831538900000003E-2</v>
      </c>
      <c r="D105" s="15">
        <v>7945</v>
      </c>
      <c r="E105" s="32">
        <f t="shared" si="50"/>
        <v>-4.5072115384615384E-2</v>
      </c>
      <c r="F105" s="18">
        <f>IF(ISNUMBER(D105), $B118 * E105, "")</f>
        <v>-6760.8173076923076</v>
      </c>
      <c r="G105" s="31">
        <v>7830</v>
      </c>
      <c r="H105" s="32">
        <f t="shared" si="51"/>
        <v>-5.8894230769230768E-2</v>
      </c>
      <c r="I105" s="97">
        <f>IF(ISNUMBER(G105), $B118 * H105, "")</f>
        <v>-8834.1346153846152</v>
      </c>
      <c r="J105" s="15">
        <v>7720</v>
      </c>
      <c r="K105" s="32">
        <f t="shared" si="52"/>
        <v>-7.2115384615384609E-2</v>
      </c>
      <c r="L105" s="18">
        <f>IF(ISNUMBER(J105), $B118 * K105, "")</f>
        <v>-10817.307692307691</v>
      </c>
      <c r="M105" s="31">
        <v>7760</v>
      </c>
      <c r="N105" s="32">
        <f t="shared" si="53"/>
        <v>-6.7307692307692304E-2</v>
      </c>
      <c r="O105" s="18">
        <f>IF(ISNUMBER(M105), $B118 * N105, "")</f>
        <v>-10096.153846153846</v>
      </c>
      <c r="Q105" s="275"/>
      <c r="R105" s="275"/>
      <c r="S105" s="275"/>
    </row>
    <row r="106" spans="1:19" ht="17.25" thickBot="1">
      <c r="A106" s="124" t="s">
        <v>96</v>
      </c>
      <c r="B106" s="125">
        <v>4381000</v>
      </c>
      <c r="C106" s="73">
        <v>5.0851523099999997E-2</v>
      </c>
      <c r="D106" s="15">
        <v>4855000</v>
      </c>
      <c r="E106" s="32">
        <f t="shared" si="50"/>
        <v>0.1081944761469984</v>
      </c>
      <c r="F106" s="18">
        <f>IF(ISNUMBER(D106), $B118 * E106, "")</f>
        <v>16229.17142204976</v>
      </c>
      <c r="G106" s="31">
        <v>4784000</v>
      </c>
      <c r="H106" s="32">
        <f t="shared" si="51"/>
        <v>9.1988130563798218E-2</v>
      </c>
      <c r="I106" s="97">
        <f>IF(ISNUMBER(G106), $B118 * H106, "")</f>
        <v>13798.219584569733</v>
      </c>
      <c r="J106" s="15">
        <v>4767000</v>
      </c>
      <c r="K106" s="32">
        <f t="shared" si="52"/>
        <v>8.8107737959370006E-2</v>
      </c>
      <c r="L106" s="18">
        <f>IF(ISNUMBER(J106), $B118 * K106, "")</f>
        <v>13216.1606939055</v>
      </c>
      <c r="M106" s="31">
        <v>4731000</v>
      </c>
      <c r="N106" s="32">
        <f t="shared" si="53"/>
        <v>7.9890435973522023E-2</v>
      </c>
      <c r="O106" s="18">
        <f>IF(ISNUMBER(M106), $B118 * N106, "")</f>
        <v>11983.565396028303</v>
      </c>
      <c r="Q106" s="33"/>
      <c r="R106" s="33"/>
    </row>
    <row r="107" spans="1:19" ht="17.25" thickBot="1">
      <c r="A107" s="129" t="s">
        <v>272</v>
      </c>
      <c r="B107" s="130">
        <v>3045</v>
      </c>
      <c r="C107" s="75">
        <v>0.05</v>
      </c>
      <c r="D107" s="24">
        <v>2940</v>
      </c>
      <c r="E107" s="25">
        <f t="shared" si="50"/>
        <v>-3.4482758620689655E-2</v>
      </c>
      <c r="F107" s="100">
        <f>IF(ISNUMBER(D107), $B118 * E107, "")</f>
        <v>-5172.4137931034484</v>
      </c>
      <c r="G107" s="98">
        <v>2820</v>
      </c>
      <c r="H107" s="25">
        <f t="shared" si="51"/>
        <v>-7.3891625615763554E-2</v>
      </c>
      <c r="I107" s="99">
        <f>IF(ISNUMBER(G107), $B118 * H107, "")</f>
        <v>-11083.743842364533</v>
      </c>
      <c r="J107" s="24">
        <v>2770</v>
      </c>
      <c r="K107" s="25">
        <f t="shared" si="52"/>
        <v>-9.0311986863711002E-2</v>
      </c>
      <c r="L107" s="100">
        <f>IF(ISNUMBER(J107), $B118 * K107, "")</f>
        <v>-13546.79802955665</v>
      </c>
      <c r="M107" s="98">
        <v>2785</v>
      </c>
      <c r="N107" s="25">
        <f t="shared" si="53"/>
        <v>-8.5385878489326772E-2</v>
      </c>
      <c r="O107" s="100">
        <f>IF(ISNUMBER(M107), $B118 * N107, "")</f>
        <v>-12807.881773399016</v>
      </c>
      <c r="Q107" s="284"/>
      <c r="R107" s="285"/>
      <c r="S107" s="286"/>
    </row>
    <row r="108" spans="1:19">
      <c r="A108" s="122" t="s">
        <v>280</v>
      </c>
      <c r="B108" s="123">
        <v>1905</v>
      </c>
      <c r="C108" s="72">
        <v>4.9586776899999997E-2</v>
      </c>
      <c r="D108" s="13">
        <v>2185</v>
      </c>
      <c r="E108" s="14">
        <f>IF(ISNUMBER(D108), (D108 - $B108) / $B108, "")</f>
        <v>0.14698162729658792</v>
      </c>
      <c r="F108" s="16">
        <f>IF(ISNUMBER(D108), $B118 * E108, "")</f>
        <v>22047.244094488189</v>
      </c>
      <c r="G108" s="29">
        <v>2205</v>
      </c>
      <c r="H108" s="14">
        <f>IF(ISNUMBER(G108), (G108 - $B108) / $B108, "")</f>
        <v>0.15748031496062992</v>
      </c>
      <c r="I108" s="96">
        <f>IF(ISNUMBER(G108), $B118 * H108, "")</f>
        <v>23622.047244094487</v>
      </c>
      <c r="J108" s="13">
        <v>2220</v>
      </c>
      <c r="K108" s="14">
        <f>IF(ISNUMBER(J108), (J108 - $B108) / $B108, "")</f>
        <v>0.16535433070866143</v>
      </c>
      <c r="L108" s="16">
        <f>IF(ISNUMBER(J108), $B118 * K108, "")</f>
        <v>24803.149606299216</v>
      </c>
      <c r="M108" s="29">
        <v>2185</v>
      </c>
      <c r="N108" s="14">
        <f>IF(ISNUMBER(M108), (M108 - $B108) / $B108, "")</f>
        <v>0.14698162729658792</v>
      </c>
      <c r="O108" s="16">
        <f>IF(ISNUMBER(M108), $B118 * N108, "")</f>
        <v>22047.244094488189</v>
      </c>
      <c r="Q108" s="287"/>
      <c r="R108" s="288"/>
      <c r="S108" s="289"/>
    </row>
    <row r="109" spans="1:19" ht="17.25" thickBot="1">
      <c r="A109" s="124" t="s">
        <v>244</v>
      </c>
      <c r="B109" s="125">
        <v>3805</v>
      </c>
      <c r="C109" s="73">
        <v>4.8209366400000002E-2</v>
      </c>
      <c r="D109" s="15">
        <v>3725</v>
      </c>
      <c r="E109" s="32">
        <f t="shared" ref="E109:E112" si="54">IF(ISNUMBER(D109), (D109 - $B109) / $B109, "")</f>
        <v>-2.1024967148488831E-2</v>
      </c>
      <c r="F109" s="18">
        <f>IF(ISNUMBER(D109), $B118 * E109, "")</f>
        <v>-3153.7450722733247</v>
      </c>
      <c r="G109" s="31">
        <v>3710</v>
      </c>
      <c r="H109" s="32">
        <f t="shared" ref="H109:H112" si="55">IF(ISNUMBER(G109), (G109 - $B109) / $B109, "")</f>
        <v>-2.4967148488830485E-2</v>
      </c>
      <c r="I109" s="97">
        <f>IF(ISNUMBER(G109), $B118 * H109, "")</f>
        <v>-3745.0722733245725</v>
      </c>
      <c r="J109" s="15">
        <v>3635</v>
      </c>
      <c r="K109" s="32">
        <f t="shared" ref="K109:K112" si="56">IF(ISNUMBER(J109), (J109 - $B109) / $B109, "")</f>
        <v>-4.4678055190538767E-2</v>
      </c>
      <c r="L109" s="18">
        <f>IF(ISNUMBER(J109), $B118 * K109, "")</f>
        <v>-6701.7082785808152</v>
      </c>
      <c r="M109" s="31">
        <v>3620</v>
      </c>
      <c r="N109" s="32">
        <f t="shared" ref="N109:N112" si="57">IF(ISNUMBER(M109), (M109 - $B109) / $B109, "")</f>
        <v>-4.862023653088042E-2</v>
      </c>
      <c r="O109" s="18">
        <f>IF(ISNUMBER(M109), $B118 * N109, "")</f>
        <v>-7293.0354796320635</v>
      </c>
      <c r="Q109" s="290"/>
      <c r="R109" s="291"/>
      <c r="S109" s="292"/>
    </row>
    <row r="110" spans="1:19" ht="17.25" thickBot="1">
      <c r="A110" s="124" t="s">
        <v>128</v>
      </c>
      <c r="B110" s="125">
        <v>746</v>
      </c>
      <c r="C110" s="73">
        <v>4.4817927200000003E-2</v>
      </c>
      <c r="D110" s="15">
        <v>723</v>
      </c>
      <c r="E110" s="32">
        <f t="shared" si="54"/>
        <v>-3.0831099195710455E-2</v>
      </c>
      <c r="F110" s="18">
        <f>IF(ISNUMBER(D110), $B118 * E110, "")</f>
        <v>-4624.6648793565682</v>
      </c>
      <c r="G110" s="31">
        <v>718</v>
      </c>
      <c r="H110" s="32">
        <f t="shared" si="55"/>
        <v>-3.7533512064343161E-2</v>
      </c>
      <c r="I110" s="97">
        <f>IF(ISNUMBER(G110), $B118 * H110, "")</f>
        <v>-5630.0268096514737</v>
      </c>
      <c r="J110" s="15">
        <v>713</v>
      </c>
      <c r="K110" s="32">
        <f t="shared" si="56"/>
        <v>-4.4235924932975873E-2</v>
      </c>
      <c r="L110" s="18">
        <f>IF(ISNUMBER(J110), $B118 * K110, "")</f>
        <v>-6635.3887399463811</v>
      </c>
      <c r="M110" s="31">
        <v>715</v>
      </c>
      <c r="N110" s="32">
        <f t="shared" si="57"/>
        <v>-4.1554959785522788E-2</v>
      </c>
      <c r="O110" s="18">
        <f>IF(ISNUMBER(M110), $B118 * N110, "")</f>
        <v>-6233.2439678284181</v>
      </c>
      <c r="Q110" s="275"/>
      <c r="R110" s="275"/>
      <c r="S110" s="275"/>
    </row>
    <row r="111" spans="1:19" ht="17.25" thickBot="1">
      <c r="A111" s="124" t="s">
        <v>258</v>
      </c>
      <c r="B111" s="125">
        <v>722</v>
      </c>
      <c r="C111" s="73">
        <v>4.33526012E-2</v>
      </c>
      <c r="D111" s="15">
        <v>686</v>
      </c>
      <c r="E111" s="32">
        <f t="shared" si="54"/>
        <v>-4.9861495844875349E-2</v>
      </c>
      <c r="F111" s="18">
        <f>IF(ISNUMBER(D111), $B118 * E111, "")</f>
        <v>-7479.2243767313021</v>
      </c>
      <c r="G111" s="31">
        <v>682</v>
      </c>
      <c r="H111" s="32">
        <f t="shared" si="55"/>
        <v>-5.5401662049861494E-2</v>
      </c>
      <c r="I111" s="97">
        <f>IF(ISNUMBER(G111), $B118 * H111, "")</f>
        <v>-8310.2493074792237</v>
      </c>
      <c r="J111" s="15">
        <v>670</v>
      </c>
      <c r="K111" s="32">
        <f t="shared" si="56"/>
        <v>-7.2022160664819951E-2</v>
      </c>
      <c r="L111" s="18">
        <f>IF(ISNUMBER(J111), $B118 * K111, "")</f>
        <v>-10803.324099722993</v>
      </c>
      <c r="M111" s="31">
        <v>671</v>
      </c>
      <c r="N111" s="32">
        <f t="shared" si="57"/>
        <v>-7.0637119113573413E-2</v>
      </c>
      <c r="O111" s="18">
        <f>IF(ISNUMBER(M111), $B118 * N111, "")</f>
        <v>-10595.567867036012</v>
      </c>
      <c r="Q111" s="270"/>
      <c r="R111" s="270"/>
      <c r="S111" s="270"/>
    </row>
    <row r="112" spans="1:19" ht="17.25" thickBot="1">
      <c r="A112" s="126" t="s">
        <v>136</v>
      </c>
      <c r="B112" s="127">
        <v>282</v>
      </c>
      <c r="C112" s="74">
        <v>4.0590405900000001E-2</v>
      </c>
      <c r="D112" s="20">
        <v>275</v>
      </c>
      <c r="E112" s="21">
        <f t="shared" si="54"/>
        <v>-2.4822695035460994E-2</v>
      </c>
      <c r="F112" s="22">
        <f>IF(ISNUMBER(D112), $B118 * E112, "")</f>
        <v>-3723.4042553191489</v>
      </c>
      <c r="G112" s="30">
        <v>279</v>
      </c>
      <c r="H112" s="21">
        <f t="shared" si="55"/>
        <v>-1.0638297872340425E-2</v>
      </c>
      <c r="I112" s="101">
        <f>IF(ISNUMBER(G112), $B118 * H112, "")</f>
        <v>-1595.7446808510638</v>
      </c>
      <c r="J112" s="20">
        <v>276</v>
      </c>
      <c r="K112" s="21">
        <f t="shared" si="56"/>
        <v>-2.1276595744680851E-2</v>
      </c>
      <c r="L112" s="22">
        <f>IF(ISNUMBER(J112), $B118 * K112, "")</f>
        <v>-3191.4893617021276</v>
      </c>
      <c r="M112" s="30">
        <v>276</v>
      </c>
      <c r="N112" s="21">
        <f t="shared" si="57"/>
        <v>-2.1276595744680851E-2</v>
      </c>
      <c r="O112" s="22">
        <f>IF(ISNUMBER(M112), $B118 * N112, "")</f>
        <v>-3191.4893617021276</v>
      </c>
      <c r="Q112" s="270"/>
      <c r="R112" s="270"/>
      <c r="S112" s="270"/>
    </row>
    <row r="113" spans="1:19" ht="17.25" thickBot="1">
      <c r="A113" s="124" t="s">
        <v>150</v>
      </c>
      <c r="B113" s="128">
        <v>5990</v>
      </c>
      <c r="C113" s="76">
        <v>3.9930555600000001E-2</v>
      </c>
      <c r="D113" s="102">
        <v>5930</v>
      </c>
      <c r="E113" s="103">
        <f>IF(ISNUMBER(D113), (D113 - $B113) / $B113, "")</f>
        <v>-1.001669449081803E-2</v>
      </c>
      <c r="F113" s="104">
        <f>IF(ISNUMBER(D113), $B118 * E113, "")</f>
        <v>-1502.5041736227045</v>
      </c>
      <c r="G113" s="105">
        <v>5940</v>
      </c>
      <c r="H113" s="103">
        <f>IF(ISNUMBER(G113), (G113 - $B113) / $B113, "")</f>
        <v>-8.3472454090150246E-3</v>
      </c>
      <c r="I113" s="106">
        <f>IF(ISNUMBER(G113), $B118 * H113, "")</f>
        <v>-1252.0868113522538</v>
      </c>
      <c r="J113" s="102">
        <v>5945</v>
      </c>
      <c r="K113" s="103">
        <f>IF(ISNUMBER(J113), (J113 - $B113) / $B113, "")</f>
        <v>-7.5125208681135229E-3</v>
      </c>
      <c r="L113" s="104">
        <f>IF(ISNUMBER(J113), $B118 * K113, "")</f>
        <v>-1126.8781302170285</v>
      </c>
      <c r="M113" s="105">
        <v>5915</v>
      </c>
      <c r="N113" s="103">
        <f>IF(ISNUMBER(M113), (M113 - $B113) / $B113, "")</f>
        <v>-1.2520868113522538E-2</v>
      </c>
      <c r="O113" s="104">
        <f>IF(ISNUMBER(M113), $B118 * N113, "")</f>
        <v>-1878.1302170283807</v>
      </c>
      <c r="Q113" s="275"/>
      <c r="R113" s="275"/>
      <c r="S113" s="275"/>
    </row>
    <row r="114" spans="1:19" ht="17.25" thickBot="1">
      <c r="A114" s="124" t="s">
        <v>274</v>
      </c>
      <c r="B114" s="125">
        <v>9800</v>
      </c>
      <c r="C114" s="73">
        <v>3.9787798399999998E-2</v>
      </c>
      <c r="D114" s="15">
        <v>9235</v>
      </c>
      <c r="E114" s="32">
        <f t="shared" ref="E114:E117" si="58">IF(ISNUMBER(D114), (D114 - $B114) / $B114, "")</f>
        <v>-5.7653061224489793E-2</v>
      </c>
      <c r="F114" s="18">
        <f>IF(ISNUMBER(D114), $B118 * E114, "")</f>
        <v>-8647.9591836734689</v>
      </c>
      <c r="G114" s="31">
        <v>9060</v>
      </c>
      <c r="H114" s="32">
        <f t="shared" ref="H114:H117" si="59">IF(ISNUMBER(G114), (G114 - $B114) / $B114, "")</f>
        <v>-7.5510204081632656E-2</v>
      </c>
      <c r="I114" s="97">
        <f>IF(ISNUMBER(G114), $B118 * H114, "")</f>
        <v>-11326.530612244898</v>
      </c>
      <c r="J114" s="15">
        <v>8910</v>
      </c>
      <c r="K114" s="32">
        <f t="shared" ref="K114:K117" si="60">IF(ISNUMBER(J114), (J114 - $B114) / $B114, "")</f>
        <v>-9.0816326530612251E-2</v>
      </c>
      <c r="L114" s="18">
        <f>IF(ISNUMBER(J114), $B118 * K114, "")</f>
        <v>-13622.448979591838</v>
      </c>
      <c r="M114" s="31">
        <v>8955</v>
      </c>
      <c r="N114" s="32">
        <f t="shared" ref="N114:N117" si="61">IF(ISNUMBER(M114), (M114 - $B114) / $B114, "")</f>
        <v>-8.6224489795918374E-2</v>
      </c>
      <c r="O114" s="18">
        <f>IF(ISNUMBER(M114), $B118 * N114, "")</f>
        <v>-12933.673469387757</v>
      </c>
      <c r="Q114" s="275"/>
      <c r="R114" s="275"/>
      <c r="S114" s="275"/>
    </row>
    <row r="115" spans="1:19" ht="17.25" thickBot="1">
      <c r="A115" s="124" t="s">
        <v>166</v>
      </c>
      <c r="B115" s="125">
        <v>2795</v>
      </c>
      <c r="C115" s="73">
        <v>3.9033457200000003E-2</v>
      </c>
      <c r="D115" s="15">
        <v>2705</v>
      </c>
      <c r="E115" s="32">
        <f t="shared" si="58"/>
        <v>-3.2200357781753133E-2</v>
      </c>
      <c r="F115" s="18">
        <f>IF(ISNUMBER(D115), $B118 * E115, "")</f>
        <v>-4830.0536672629696</v>
      </c>
      <c r="G115" s="31">
        <v>2745</v>
      </c>
      <c r="H115" s="32">
        <f t="shared" si="59"/>
        <v>-1.7889087656529516E-2</v>
      </c>
      <c r="I115" s="97">
        <f>IF(ISNUMBER(G115), $B118 * H115, "")</f>
        <v>-2683.3631484794273</v>
      </c>
      <c r="J115" s="15">
        <v>2685</v>
      </c>
      <c r="K115" s="32">
        <f t="shared" si="60"/>
        <v>-3.9355992844364938E-2</v>
      </c>
      <c r="L115" s="18">
        <f>IF(ISNUMBER(J115), $B118 * K115, "")</f>
        <v>-5903.3989266547405</v>
      </c>
      <c r="M115" s="31">
        <v>2760</v>
      </c>
      <c r="N115" s="32">
        <f t="shared" si="61"/>
        <v>-1.2522361359570662E-2</v>
      </c>
      <c r="O115" s="18">
        <f>IF(ISNUMBER(M115), $B118 * N115, "")</f>
        <v>-1878.3542039355993</v>
      </c>
      <c r="Q115" s="275"/>
      <c r="R115" s="275"/>
      <c r="S115" s="275"/>
    </row>
    <row r="116" spans="1:19">
      <c r="A116" s="124" t="s">
        <v>296</v>
      </c>
      <c r="B116" s="125">
        <v>857</v>
      </c>
      <c r="C116" s="73">
        <v>3.8787878800000002E-2</v>
      </c>
      <c r="D116" s="15">
        <v>679</v>
      </c>
      <c r="E116" s="32">
        <f t="shared" si="58"/>
        <v>-0.20770128354725786</v>
      </c>
      <c r="F116" s="18">
        <f>IF(ISNUMBER(D116), $B118 * E116, "")</f>
        <v>-31155.19253208868</v>
      </c>
      <c r="G116" s="31">
        <v>602</v>
      </c>
      <c r="H116" s="32">
        <f t="shared" si="59"/>
        <v>-0.29754959159859978</v>
      </c>
      <c r="I116" s="97">
        <f>IF(ISNUMBER(G116), $B118 * H116, "")</f>
        <v>-44632.43873978997</v>
      </c>
      <c r="J116" s="15">
        <v>566</v>
      </c>
      <c r="K116" s="32">
        <f t="shared" si="60"/>
        <v>-0.33955659276546091</v>
      </c>
      <c r="L116" s="18">
        <f>IF(ISNUMBER(J116), $B118 * K116, "")</f>
        <v>-50933.488914819136</v>
      </c>
      <c r="M116" s="31">
        <v>594</v>
      </c>
      <c r="N116" s="32">
        <f t="shared" si="61"/>
        <v>-0.30688448074679114</v>
      </c>
      <c r="O116" s="18">
        <f>IF(ISNUMBER(M116), $B118 * N116, "")</f>
        <v>-46032.67211201867</v>
      </c>
      <c r="Q116" s="297"/>
      <c r="R116" s="298"/>
      <c r="S116" s="299"/>
    </row>
    <row r="117" spans="1:19" ht="17.25" thickBot="1">
      <c r="A117" s="129" t="s">
        <v>80</v>
      </c>
      <c r="B117" s="130">
        <v>1755</v>
      </c>
      <c r="C117" s="75">
        <v>3.8461538500000003E-2</v>
      </c>
      <c r="D117" s="24">
        <v>1730</v>
      </c>
      <c r="E117" s="25">
        <f t="shared" si="58"/>
        <v>-1.4245014245014245E-2</v>
      </c>
      <c r="F117" s="100">
        <f>IF(ISNUMBER(D117), $B118 * E117, "")</f>
        <v>-2136.7521367521367</v>
      </c>
      <c r="G117" s="98">
        <v>1710</v>
      </c>
      <c r="H117" s="25">
        <f t="shared" si="59"/>
        <v>-2.564102564102564E-2</v>
      </c>
      <c r="I117" s="99">
        <f>IF(ISNUMBER(G117), $B118 * H117, "")</f>
        <v>-3846.1538461538462</v>
      </c>
      <c r="J117" s="24">
        <v>1690</v>
      </c>
      <c r="K117" s="25">
        <f t="shared" si="60"/>
        <v>-3.7037037037037035E-2</v>
      </c>
      <c r="L117" s="100">
        <f>IF(ISNUMBER(J117), $B118 * K117, "")</f>
        <v>-5555.5555555555557</v>
      </c>
      <c r="M117" s="98">
        <v>1705</v>
      </c>
      <c r="N117" s="25">
        <f t="shared" si="61"/>
        <v>-2.8490028490028491E-2</v>
      </c>
      <c r="O117" s="100">
        <f>IF(ISNUMBER(M117), $B118 * N117, "")</f>
        <v>-4273.5042735042734</v>
      </c>
      <c r="Q117" s="300"/>
      <c r="R117" s="301"/>
      <c r="S117" s="302"/>
    </row>
    <row r="118" spans="1:19" ht="17.25" thickBot="1">
      <c r="A118" s="131" t="s">
        <v>301</v>
      </c>
      <c r="B118" s="308">
        <f>$B$37</f>
        <v>150000</v>
      </c>
      <c r="C118" s="309"/>
      <c r="D118" s="26" t="s">
        <v>302</v>
      </c>
      <c r="E118" s="27">
        <f>IF(COUNT(E98:E117), SUM(E98:E117) / COUNT(E98:E117), 0)</f>
        <v>-2.7022874073108889E-2</v>
      </c>
      <c r="F118" s="28">
        <f>SUM(F98:F117)</f>
        <v>-81068.622219326688</v>
      </c>
      <c r="G118" s="26" t="s">
        <v>302</v>
      </c>
      <c r="H118" s="27">
        <f>IF(COUNT(H98:H117), SUM(H98:H117) / COUNT(H98:H117), 0)</f>
        <v>-3.8643720935763876E-2</v>
      </c>
      <c r="I118" s="28">
        <f>SUM(I98:I117)</f>
        <v>-115931.16280729162</v>
      </c>
      <c r="J118" s="26" t="s">
        <v>302</v>
      </c>
      <c r="K118" s="27">
        <f>IF(COUNT(K98:K117), SUM(K98:K117) / COUNT(K98:K117), 0)</f>
        <v>-5.1517584937208039E-2</v>
      </c>
      <c r="L118" s="28">
        <f>SUM(L98:L117)</f>
        <v>-154552.75481162412</v>
      </c>
      <c r="M118" s="26" t="s">
        <v>302</v>
      </c>
      <c r="N118" s="27">
        <f>IF(COUNT(N98:N117), SUM(N98:N117) / COUNT(N98:N117), 0)</f>
        <v>-4.9159155413673564E-2</v>
      </c>
      <c r="O118" s="28">
        <f>SUM(O98:O117)</f>
        <v>-147477.46624102071</v>
      </c>
      <c r="Q118" s="303"/>
      <c r="R118" s="304"/>
      <c r="S118" s="305"/>
    </row>
    <row r="120" spans="1:19" ht="17.25" thickBot="1"/>
    <row r="121" spans="1:19" ht="17.25" thickBot="1">
      <c r="A121" s="249" t="s">
        <v>288</v>
      </c>
      <c r="B121" s="250"/>
      <c r="C121" s="250"/>
      <c r="D121" s="250"/>
      <c r="E121" s="250"/>
      <c r="F121" s="250"/>
      <c r="G121" s="250"/>
      <c r="H121" s="250"/>
      <c r="I121" s="250"/>
      <c r="J121" s="250"/>
      <c r="K121" s="250"/>
      <c r="L121" s="250"/>
      <c r="M121" s="250"/>
      <c r="N121" s="250"/>
      <c r="O121" s="251"/>
      <c r="Q121" s="270"/>
      <c r="R121" s="270"/>
      <c r="S121" s="270"/>
    </row>
    <row r="122" spans="1:19" ht="17.25" thickBot="1">
      <c r="A122" s="171" t="s">
        <v>298</v>
      </c>
      <c r="B122" s="249" t="s">
        <v>49</v>
      </c>
      <c r="C122" s="251"/>
      <c r="D122" s="249" t="s">
        <v>58</v>
      </c>
      <c r="E122" s="250"/>
      <c r="F122" s="251"/>
      <c r="G122" s="276">
        <f>_xlfn.IFNA(VLOOKUP(B122, 현재가테이블!$B$2:$D$200, 2, FALSE), "-")</f>
        <v>60874000</v>
      </c>
      <c r="H122" s="277"/>
      <c r="I122" s="278"/>
      <c r="J122" s="249" t="s">
        <v>59</v>
      </c>
      <c r="K122" s="250"/>
      <c r="L122" s="251"/>
      <c r="M122" s="279">
        <f>_xlfn.IFNA(VLOOKUP(B122, 현재가테이블!$B$2:$D$200, 3, FALSE), "-")</f>
        <v>-1.4936000099999999E-2</v>
      </c>
      <c r="N122" s="280"/>
      <c r="O122" s="281"/>
      <c r="Q122" s="270"/>
      <c r="R122" s="270"/>
      <c r="S122" s="270"/>
    </row>
    <row r="123" spans="1:19" ht="17.25" thickBot="1">
      <c r="A123" s="310" t="s">
        <v>55</v>
      </c>
      <c r="B123" s="312" t="str">
        <f>TEXT($G$1, "[$-ko-KR]yyyy-mm-dd(ddd) ") &amp; "오전 00:00"</f>
        <v>2021-05-09(일) 오전 00:00</v>
      </c>
      <c r="C123" s="313"/>
      <c r="D123" s="272" t="str">
        <f>TEXT($G$1, "[$-ko-KR]yyyy-mm-dd(ddd) ") &amp; "오후 14:00"</f>
        <v>2021-05-09(일) 오후 14:00</v>
      </c>
      <c r="E123" s="273"/>
      <c r="F123" s="274"/>
      <c r="G123" s="272" t="str">
        <f>TEXT($G$1, "[$-ko-KR]yyyy-mm-dd(ddd) ") &amp; "오후 19:00"</f>
        <v>2021-05-09(일) 오후 19:00</v>
      </c>
      <c r="H123" s="273"/>
      <c r="I123" s="274"/>
      <c r="J123" s="272" t="str">
        <f>TEXT($G$1, "[$-ko-KR]yyyy-mm-dd(ddd) ") &amp; "오후 21:00"</f>
        <v>2021-05-09(일) 오후 21:00</v>
      </c>
      <c r="K123" s="273"/>
      <c r="L123" s="274"/>
      <c r="M123" s="272" t="str">
        <f>TEXT($G$1+1, "[$-ko-KR]yyyy-mm-dd(ddd) ") &amp; "오전 00:00"</f>
        <v>2021-05-10(월) 오전 00:00</v>
      </c>
      <c r="N123" s="273"/>
      <c r="O123" s="274"/>
      <c r="Q123" s="270"/>
      <c r="R123" s="270"/>
      <c r="S123" s="270"/>
    </row>
    <row r="124" spans="1:19" ht="17.25" thickBot="1">
      <c r="A124" s="311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72" t="s">
        <v>58</v>
      </c>
      <c r="H124" s="173" t="s">
        <v>299</v>
      </c>
      <c r="I124" s="17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75"/>
      <c r="R124" s="275"/>
      <c r="S124" s="275"/>
    </row>
    <row r="125" spans="1:19" ht="17.25" thickBot="1">
      <c r="A125" s="122" t="s">
        <v>154</v>
      </c>
      <c r="B125" s="123">
        <v>21.5</v>
      </c>
      <c r="C125" s="72">
        <v>1.8957346E-2</v>
      </c>
      <c r="D125" s="13">
        <v>20.5</v>
      </c>
      <c r="E125" s="14">
        <f>IF(ISNUMBER(D125), (D125 - $B125) / $B125, "")</f>
        <v>-4.6511627906976744E-2</v>
      </c>
      <c r="F125" s="16">
        <f>IF(ISNUMBER(D125), $B145 * E125, "")</f>
        <v>-6976.7441860465115</v>
      </c>
      <c r="G125" s="29">
        <v>20.399999999999999</v>
      </c>
      <c r="H125" s="14">
        <f>IF(ISNUMBER(G125), (G125 - $B125) / $B125, "")</f>
        <v>-5.1162790697674487E-2</v>
      </c>
      <c r="I125" s="96">
        <f>IF(ISNUMBER(G125), $B145 * H125, "")</f>
        <v>-7674.4186046511732</v>
      </c>
      <c r="J125" s="13">
        <v>20</v>
      </c>
      <c r="K125" s="14">
        <f>IF(ISNUMBER(J125), (J125 - $B125) / $B125, "")</f>
        <v>-6.9767441860465115E-2</v>
      </c>
      <c r="L125" s="16">
        <f>IF(ISNUMBER(J125), $B145 * K125, "")</f>
        <v>-10465.116279069767</v>
      </c>
      <c r="M125" s="29">
        <v>20.100000000000001</v>
      </c>
      <c r="N125" s="14">
        <f>IF(ISNUMBER(M125), (M125 - $B125) / $B125, "")</f>
        <v>-6.5116279069767372E-2</v>
      </c>
      <c r="O125" s="16">
        <f>IF(ISNUMBER(M125), $B145 * N125, "")</f>
        <v>-9767.4418604651055</v>
      </c>
      <c r="Q125" s="270"/>
      <c r="R125" s="270"/>
      <c r="S125" s="270"/>
    </row>
    <row r="126" spans="1:19" ht="17.25" thickBot="1">
      <c r="A126" s="124" t="s">
        <v>172</v>
      </c>
      <c r="B126" s="125">
        <v>25.1</v>
      </c>
      <c r="C126" s="73">
        <v>1.20967742E-2</v>
      </c>
      <c r="D126" s="15">
        <v>23.6</v>
      </c>
      <c r="E126" s="32">
        <f t="shared" ref="E126:E129" si="62">IF(ISNUMBER(D126), (D126 - $B126) / $B126, "")</f>
        <v>-5.97609561752988E-2</v>
      </c>
      <c r="F126" s="18">
        <f>IF(ISNUMBER(D126), $B145 * E126, "")</f>
        <v>-8964.1434262948205</v>
      </c>
      <c r="G126" s="31">
        <v>23.5</v>
      </c>
      <c r="H126" s="32">
        <f t="shared" ref="H126:H129" si="63">IF(ISNUMBER(G126), (G126 - $B126) / $B126, "")</f>
        <v>-6.374501992031878E-2</v>
      </c>
      <c r="I126" s="97">
        <f>IF(ISNUMBER(G126), $B145 * H126, "")</f>
        <v>-9561.7529880478178</v>
      </c>
      <c r="J126" s="15">
        <v>22.8</v>
      </c>
      <c r="K126" s="32">
        <f t="shared" ref="K126:K129" si="64">IF(ISNUMBER(J126), (J126 - $B126) / $B126, "")</f>
        <v>-9.1633466135458197E-2</v>
      </c>
      <c r="L126" s="18">
        <f>IF(ISNUMBER(J126), $B145 * K126, "")</f>
        <v>-13745.019920318729</v>
      </c>
      <c r="M126" s="31">
        <v>23.1</v>
      </c>
      <c r="N126" s="32">
        <f t="shared" ref="N126:N129" si="65">IF(ISNUMBER(M126), (M126 - $B126) / $B126, "")</f>
        <v>-7.9681274900398405E-2</v>
      </c>
      <c r="O126" s="18">
        <f>IF(ISNUMBER(M126), $B145 * N126, "")</f>
        <v>-11952.191235059761</v>
      </c>
      <c r="Q126" s="270"/>
      <c r="R126" s="270"/>
      <c r="S126" s="270"/>
    </row>
    <row r="127" spans="1:19" ht="17.25" thickBot="1">
      <c r="A127" s="124" t="s">
        <v>186</v>
      </c>
      <c r="B127" s="125">
        <v>25.2</v>
      </c>
      <c r="C127" s="73">
        <v>8.0000000000000002E-3</v>
      </c>
      <c r="D127" s="15">
        <v>24.6</v>
      </c>
      <c r="E127" s="32">
        <f t="shared" si="62"/>
        <v>-2.3809523809523725E-2</v>
      </c>
      <c r="F127" s="18">
        <f>IF(ISNUMBER(D127), $B145 * E127, "")</f>
        <v>-3571.4285714285588</v>
      </c>
      <c r="G127" s="31">
        <v>24.1</v>
      </c>
      <c r="H127" s="32">
        <f t="shared" si="63"/>
        <v>-4.3650793650793565E-2</v>
      </c>
      <c r="I127" s="97">
        <f>IF(ISNUMBER(G127), $B145 * H127, "")</f>
        <v>-6547.619047619035</v>
      </c>
      <c r="J127" s="15">
        <v>23.7</v>
      </c>
      <c r="K127" s="32">
        <f t="shared" si="64"/>
        <v>-5.9523809523809527E-2</v>
      </c>
      <c r="L127" s="18">
        <f>IF(ISNUMBER(J127), $B145 * K127, "")</f>
        <v>-8928.5714285714294</v>
      </c>
      <c r="M127" s="31">
        <v>23.6</v>
      </c>
      <c r="N127" s="32">
        <f t="shared" si="65"/>
        <v>-6.3492063492063405E-2</v>
      </c>
      <c r="O127" s="18">
        <f>IF(ISNUMBER(M127), $B145 * N127, "")</f>
        <v>-9523.8095238095102</v>
      </c>
      <c r="Q127" s="275"/>
      <c r="R127" s="275"/>
      <c r="S127" s="275"/>
    </row>
    <row r="128" spans="1:19" ht="17.25" thickBot="1">
      <c r="A128" s="124" t="s">
        <v>126</v>
      </c>
      <c r="B128" s="125">
        <v>60.6</v>
      </c>
      <c r="C128" s="73">
        <v>3.3112583000000002E-3</v>
      </c>
      <c r="D128" s="15">
        <v>59.5</v>
      </c>
      <c r="E128" s="32">
        <f t="shared" si="62"/>
        <v>-1.8151815181518174E-2</v>
      </c>
      <c r="F128" s="18">
        <f>IF(ISNUMBER(D128), $B145 * E128, "")</f>
        <v>-2722.7722772277261</v>
      </c>
      <c r="G128" s="31">
        <v>58.1</v>
      </c>
      <c r="H128" s="32">
        <f t="shared" si="63"/>
        <v>-4.1254125412541254E-2</v>
      </c>
      <c r="I128" s="97">
        <f>IF(ISNUMBER(G128), $B145 * H128, "")</f>
        <v>-6188.1188118811879</v>
      </c>
      <c r="J128" s="15">
        <v>58</v>
      </c>
      <c r="K128" s="32">
        <f t="shared" si="64"/>
        <v>-4.2904290429042924E-2</v>
      </c>
      <c r="L128" s="18">
        <f>IF(ISNUMBER(J128), $B145 * K128, "")</f>
        <v>-6435.6435643564382</v>
      </c>
      <c r="M128" s="31">
        <v>58.7</v>
      </c>
      <c r="N128" s="32">
        <f t="shared" si="65"/>
        <v>-3.135313531353133E-2</v>
      </c>
      <c r="O128" s="18">
        <f>IF(ISNUMBER(M128), $B145 * N128, "")</f>
        <v>-4702.9702970296994</v>
      </c>
      <c r="Q128" s="275"/>
      <c r="R128" s="275"/>
      <c r="S128" s="275"/>
    </row>
    <row r="129" spans="1:19" ht="17.25" thickBot="1">
      <c r="A129" s="126" t="s">
        <v>196</v>
      </c>
      <c r="B129" s="127">
        <v>20.5</v>
      </c>
      <c r="C129" s="74">
        <v>0</v>
      </c>
      <c r="D129" s="20">
        <v>19.7</v>
      </c>
      <c r="E129" s="21">
        <f t="shared" si="62"/>
        <v>-3.9024390243902474E-2</v>
      </c>
      <c r="F129" s="22">
        <f>IF(ISNUMBER(D129), $B145 * E129, "")</f>
        <v>-5853.6585365853707</v>
      </c>
      <c r="G129" s="30">
        <v>19.399999999999999</v>
      </c>
      <c r="H129" s="21">
        <f t="shared" si="63"/>
        <v>-5.3658536585365922E-2</v>
      </c>
      <c r="I129" s="101">
        <f>IF(ISNUMBER(G129), $B145 * H129, "")</f>
        <v>-8048.7804878048883</v>
      </c>
      <c r="J129" s="20">
        <v>19</v>
      </c>
      <c r="K129" s="21">
        <f t="shared" si="64"/>
        <v>-7.3170731707317069E-2</v>
      </c>
      <c r="L129" s="22">
        <f>IF(ISNUMBER(J129), $B145 * K129, "")</f>
        <v>-10975.60975609756</v>
      </c>
      <c r="M129" s="30">
        <v>19.2</v>
      </c>
      <c r="N129" s="21">
        <f t="shared" si="65"/>
        <v>-6.3414634146341492E-2</v>
      </c>
      <c r="O129" s="22">
        <f>IF(ISNUMBER(M129), $B145 * N129, "")</f>
        <v>-9512.195121951223</v>
      </c>
      <c r="Q129" s="275"/>
      <c r="R129" s="275"/>
      <c r="S129" s="275"/>
    </row>
    <row r="130" spans="1:19" ht="17.25" thickBot="1">
      <c r="A130" s="124" t="s">
        <v>100</v>
      </c>
      <c r="B130" s="128">
        <v>9.2200000000000006</v>
      </c>
      <c r="C130" s="76">
        <v>-3.2432431999999999E-3</v>
      </c>
      <c r="D130" s="102">
        <v>8.9600000000000009</v>
      </c>
      <c r="E130" s="103">
        <f>IF(ISNUMBER(D130), (D130 - $B130) / $B130, "")</f>
        <v>-2.8199566160520582E-2</v>
      </c>
      <c r="F130" s="104">
        <f>IF(ISNUMBER(D130), $B145 * E130, "")</f>
        <v>-4229.9349240780875</v>
      </c>
      <c r="G130" s="105">
        <v>8.7899999999999991</v>
      </c>
      <c r="H130" s="103">
        <f>IF(ISNUMBER(G130), (G130 - $B130) / $B130, "")</f>
        <v>-4.6637744034707315E-2</v>
      </c>
      <c r="I130" s="106">
        <f>IF(ISNUMBER(G130), $B145 * H130, "")</f>
        <v>-6995.6616052060972</v>
      </c>
      <c r="J130" s="102">
        <v>8.66</v>
      </c>
      <c r="K130" s="103">
        <f>IF(ISNUMBER(J130), (J130 - $B130) / $B130, "")</f>
        <v>-6.0737527114967514E-2</v>
      </c>
      <c r="L130" s="104">
        <f>IF(ISNUMBER(J130), $B145 * K130, "")</f>
        <v>-9110.6290672451269</v>
      </c>
      <c r="M130" s="105">
        <v>8.7200000000000006</v>
      </c>
      <c r="N130" s="103">
        <f>IF(ISNUMBER(M130), (M130 - $B130) / $B130, "")</f>
        <v>-5.4229934924078085E-2</v>
      </c>
      <c r="O130" s="104">
        <f>IF(ISNUMBER(M130), $B145 * N130, "")</f>
        <v>-8134.4902386117128</v>
      </c>
      <c r="Q130" s="275"/>
      <c r="R130" s="275"/>
      <c r="S130" s="275"/>
    </row>
    <row r="131" spans="1:19" ht="17.25" thickBot="1">
      <c r="A131" s="124" t="s">
        <v>65</v>
      </c>
      <c r="B131" s="125">
        <v>79.5</v>
      </c>
      <c r="C131" s="73">
        <v>-8.7281796000000002E-3</v>
      </c>
      <c r="D131" s="15">
        <v>78.2</v>
      </c>
      <c r="E131" s="32">
        <f t="shared" ref="E131:E134" si="66">IF(ISNUMBER(D131), (D131 - $B131) / $B131, "")</f>
        <v>-1.63522012578616E-2</v>
      </c>
      <c r="F131" s="18">
        <f>IF(ISNUMBER(D131), $B145 * E131, "")</f>
        <v>-2452.8301886792401</v>
      </c>
      <c r="G131" s="31">
        <v>77.099999999999994</v>
      </c>
      <c r="H131" s="32">
        <f t="shared" ref="H131:H134" si="67">IF(ISNUMBER(G131), (G131 - $B131) / $B131, "")</f>
        <v>-3.0188679245283092E-2</v>
      </c>
      <c r="I131" s="97">
        <f>IF(ISNUMBER(G131), $B145 * H131, "")</f>
        <v>-4528.3018867924638</v>
      </c>
      <c r="J131" s="15">
        <v>76.7</v>
      </c>
      <c r="K131" s="32">
        <f t="shared" ref="K131:K134" si="68">IF(ISNUMBER(J131), (J131 - $B131) / $B131, "")</f>
        <v>-3.5220125786163486E-2</v>
      </c>
      <c r="L131" s="18">
        <f>IF(ISNUMBER(J131), $B145 * K131, "")</f>
        <v>-5283.018867924523</v>
      </c>
      <c r="M131" s="31">
        <v>78</v>
      </c>
      <c r="N131" s="32">
        <f t="shared" ref="N131:N134" si="69">IF(ISNUMBER(M131), (M131 - $B131) / $B131, "")</f>
        <v>-1.8867924528301886E-2</v>
      </c>
      <c r="O131" s="18">
        <f>IF(ISNUMBER(M131), $B145 * N131, "")</f>
        <v>-2830.1886792452829</v>
      </c>
      <c r="Q131" s="275"/>
      <c r="R131" s="275"/>
      <c r="S131" s="275"/>
    </row>
    <row r="132" spans="1:19" ht="17.25" thickBot="1">
      <c r="A132" s="124" t="s">
        <v>220</v>
      </c>
      <c r="B132" s="125">
        <v>20.399999999999999</v>
      </c>
      <c r="C132" s="73">
        <v>-9.7087379000000001E-3</v>
      </c>
      <c r="D132" s="15">
        <v>20.100000000000001</v>
      </c>
      <c r="E132" s="32">
        <f t="shared" si="66"/>
        <v>-1.4705882352941037E-2</v>
      </c>
      <c r="F132" s="18">
        <f>IF(ISNUMBER(D132), $B145 * E132, "")</f>
        <v>-2205.8823529411557</v>
      </c>
      <c r="G132" s="31">
        <v>19.8</v>
      </c>
      <c r="H132" s="32">
        <f t="shared" si="67"/>
        <v>-2.9411764705882252E-2</v>
      </c>
      <c r="I132" s="97">
        <f>IF(ISNUMBER(G132), $B145 * H132, "")</f>
        <v>-4411.7647058823377</v>
      </c>
      <c r="J132" s="15">
        <v>19.600000000000001</v>
      </c>
      <c r="K132" s="32">
        <f t="shared" si="68"/>
        <v>-3.9215686274509665E-2</v>
      </c>
      <c r="L132" s="18">
        <f>IF(ISNUMBER(J132), $B145 * K132, "")</f>
        <v>-5882.3529411764493</v>
      </c>
      <c r="M132" s="31">
        <v>19.7</v>
      </c>
      <c r="N132" s="32">
        <f t="shared" si="69"/>
        <v>-3.4313725490196047E-2</v>
      </c>
      <c r="O132" s="18">
        <f>IF(ISNUMBER(M132), $B145 * N132, "")</f>
        <v>-5147.0588235294072</v>
      </c>
      <c r="Q132" s="275"/>
      <c r="R132" s="275"/>
      <c r="S132" s="275"/>
    </row>
    <row r="133" spans="1:19" ht="17.25" thickBot="1">
      <c r="A133" s="124" t="s">
        <v>72</v>
      </c>
      <c r="B133" s="125">
        <v>38.799999999999997</v>
      </c>
      <c r="C133" s="73">
        <v>-1.02040816E-2</v>
      </c>
      <c r="D133" s="15">
        <v>37.799999999999997</v>
      </c>
      <c r="E133" s="32">
        <f t="shared" si="66"/>
        <v>-2.5773195876288662E-2</v>
      </c>
      <c r="F133" s="18">
        <f>IF(ISNUMBER(D133), $B145 * E133, "")</f>
        <v>-3865.9793814432992</v>
      </c>
      <c r="G133" s="31">
        <v>37.200000000000003</v>
      </c>
      <c r="H133" s="32">
        <f t="shared" si="67"/>
        <v>-4.1237113402061709E-2</v>
      </c>
      <c r="I133" s="97">
        <f>IF(ISNUMBER(G133), $B145 * H133, "")</f>
        <v>-6185.5670103092561</v>
      </c>
      <c r="J133" s="15">
        <v>36.799999999999997</v>
      </c>
      <c r="K133" s="32">
        <f t="shared" si="68"/>
        <v>-5.1546391752577324E-2</v>
      </c>
      <c r="L133" s="18">
        <f>IF(ISNUMBER(J133), $B145 * K133, "")</f>
        <v>-7731.9587628865984</v>
      </c>
      <c r="M133" s="31">
        <v>36.6</v>
      </c>
      <c r="N133" s="32">
        <f t="shared" si="69"/>
        <v>-5.6701030927834947E-2</v>
      </c>
      <c r="O133" s="18">
        <f>IF(ISNUMBER(M133), $B145 * N133, "")</f>
        <v>-8505.1546391752418</v>
      </c>
      <c r="Q133" s="33"/>
      <c r="R133" s="33"/>
    </row>
    <row r="134" spans="1:19" ht="17.25" thickBot="1">
      <c r="A134" s="129" t="s">
        <v>266</v>
      </c>
      <c r="B134" s="130">
        <v>92.4</v>
      </c>
      <c r="C134" s="75">
        <v>-1.2820512799999999E-2</v>
      </c>
      <c r="D134" s="24">
        <v>91.8</v>
      </c>
      <c r="E134" s="25">
        <f t="shared" si="66"/>
        <v>-6.493506493506585E-3</v>
      </c>
      <c r="F134" s="100">
        <f>IF(ISNUMBER(D134), $B145 * E134, "")</f>
        <v>-974.02597402598781</v>
      </c>
      <c r="G134" s="98">
        <v>90.3</v>
      </c>
      <c r="H134" s="25">
        <f t="shared" si="67"/>
        <v>-2.2727272727272818E-2</v>
      </c>
      <c r="I134" s="99">
        <f>IF(ISNUMBER(G134), $B145 * H134, "")</f>
        <v>-3409.0909090909227</v>
      </c>
      <c r="J134" s="24">
        <v>90.3</v>
      </c>
      <c r="K134" s="25">
        <f t="shared" si="68"/>
        <v>-2.2727272727272818E-2</v>
      </c>
      <c r="L134" s="100">
        <f>IF(ISNUMBER(J134), $B145 * K134, "")</f>
        <v>-3409.0909090909227</v>
      </c>
      <c r="M134" s="98">
        <v>89.9</v>
      </c>
      <c r="N134" s="25">
        <f t="shared" si="69"/>
        <v>-2.7056277056277056E-2</v>
      </c>
      <c r="O134" s="100">
        <f>IF(ISNUMBER(M134), $B145 * N134, "")</f>
        <v>-4058.4415584415583</v>
      </c>
      <c r="Q134" s="284"/>
      <c r="R134" s="285"/>
      <c r="S134" s="286"/>
    </row>
    <row r="135" spans="1:19">
      <c r="A135" s="122" t="s">
        <v>268</v>
      </c>
      <c r="B135" s="123">
        <v>92.3</v>
      </c>
      <c r="C135" s="72">
        <v>-1.5991471199999999E-2</v>
      </c>
      <c r="D135" s="13">
        <v>89.8</v>
      </c>
      <c r="E135" s="14">
        <f>IF(ISNUMBER(D135), (D135 - $B135) / $B135, "")</f>
        <v>-2.7085590465872156E-2</v>
      </c>
      <c r="F135" s="16">
        <f>IF(ISNUMBER(D135), $B145 * E135, "")</f>
        <v>-4062.8385698808233</v>
      </c>
      <c r="G135" s="29">
        <v>89</v>
      </c>
      <c r="H135" s="14">
        <f>IF(ISNUMBER(G135), (G135 - $B135) / $B135, "")</f>
        <v>-3.5752979414951216E-2</v>
      </c>
      <c r="I135" s="96">
        <f>IF(ISNUMBER(G135), $B145 * H135, "")</f>
        <v>-5362.9469122426826</v>
      </c>
      <c r="J135" s="13">
        <v>87.5</v>
      </c>
      <c r="K135" s="14">
        <f>IF(ISNUMBER(J135), (J135 - $B135) / $B135, "")</f>
        <v>-5.2004333694474512E-2</v>
      </c>
      <c r="L135" s="16">
        <f>IF(ISNUMBER(J135), $B145 * K135, "")</f>
        <v>-7800.6500541711766</v>
      </c>
      <c r="M135" s="29">
        <v>87.9</v>
      </c>
      <c r="N135" s="14">
        <f>IF(ISNUMBER(M135), (M135 - $B135) / $B135, "")</f>
        <v>-4.7670639219934904E-2</v>
      </c>
      <c r="O135" s="16">
        <f>IF(ISNUMBER(M135), $B145 * N135, "")</f>
        <v>-7150.5958829902356</v>
      </c>
      <c r="Q135" s="287"/>
      <c r="R135" s="288"/>
      <c r="S135" s="289"/>
    </row>
    <row r="136" spans="1:19" ht="17.25" thickBot="1">
      <c r="A136" s="124" t="s">
        <v>228</v>
      </c>
      <c r="B136" s="125">
        <v>18.2</v>
      </c>
      <c r="C136" s="73">
        <v>-1.6216216200000001E-2</v>
      </c>
      <c r="D136" s="15">
        <v>17.600000000000001</v>
      </c>
      <c r="E136" s="32">
        <f t="shared" ref="E136:E139" si="70">IF(ISNUMBER(D136), (D136 - $B136) / $B136, "")</f>
        <v>-3.296703296703285E-2</v>
      </c>
      <c r="F136" s="18">
        <f>IF(ISNUMBER(D136), $B145 * E136, "")</f>
        <v>-4945.0549450549279</v>
      </c>
      <c r="G136" s="31">
        <v>17.5</v>
      </c>
      <c r="H136" s="32">
        <f t="shared" ref="H136:H139" si="71">IF(ISNUMBER(G136), (G136 - $B136) / $B136, "")</f>
        <v>-3.8461538461538422E-2</v>
      </c>
      <c r="I136" s="97">
        <f>IF(ISNUMBER(G136), $B145 * H136, "")</f>
        <v>-5769.2307692307631</v>
      </c>
      <c r="J136" s="15">
        <v>17.3</v>
      </c>
      <c r="K136" s="32">
        <f t="shared" ref="K136:K139" si="72">IF(ISNUMBER(J136), (J136 - $B136) / $B136, "")</f>
        <v>-4.9450549450549372E-2</v>
      </c>
      <c r="L136" s="18">
        <f>IF(ISNUMBER(J136), $B145 * K136, "")</f>
        <v>-7417.5824175824055</v>
      </c>
      <c r="M136" s="31">
        <v>17.3</v>
      </c>
      <c r="N136" s="32">
        <f t="shared" ref="N136:N139" si="73">IF(ISNUMBER(M136), (M136 - $B136) / $B136, "")</f>
        <v>-4.9450549450549372E-2</v>
      </c>
      <c r="O136" s="18">
        <f>IF(ISNUMBER(M136), $B145 * N136, "")</f>
        <v>-7417.5824175824055</v>
      </c>
      <c r="Q136" s="290"/>
      <c r="R136" s="291"/>
      <c r="S136" s="292"/>
    </row>
    <row r="137" spans="1:19" ht="17.25" thickBot="1">
      <c r="A137" s="124" t="s">
        <v>236</v>
      </c>
      <c r="B137" s="125">
        <v>67.400000000000006</v>
      </c>
      <c r="C137" s="73">
        <v>-1.7492711399999999E-2</v>
      </c>
      <c r="D137" s="15">
        <v>66</v>
      </c>
      <c r="E137" s="32">
        <f t="shared" si="70"/>
        <v>-2.0771513353115809E-2</v>
      </c>
      <c r="F137" s="18">
        <f>IF(ISNUMBER(D137), $B145 * E137, "")</f>
        <v>-3115.7270029673714</v>
      </c>
      <c r="G137" s="31">
        <v>64.5</v>
      </c>
      <c r="H137" s="32">
        <f t="shared" si="71"/>
        <v>-4.302670623145409E-2</v>
      </c>
      <c r="I137" s="97">
        <f>IF(ISNUMBER(G137), $B145 * H137, "")</f>
        <v>-6454.0059347181132</v>
      </c>
      <c r="J137" s="15">
        <v>63.5</v>
      </c>
      <c r="K137" s="32">
        <f t="shared" si="72"/>
        <v>-5.7863501483679608E-2</v>
      </c>
      <c r="L137" s="18">
        <f>IF(ISNUMBER(J137), $B145 * K137, "")</f>
        <v>-8679.5252225519416</v>
      </c>
      <c r="M137" s="31">
        <v>64</v>
      </c>
      <c r="N137" s="32">
        <f t="shared" si="73"/>
        <v>-5.0445103857566849E-2</v>
      </c>
      <c r="O137" s="18">
        <f>IF(ISNUMBER(M137), $B145 * N137, "")</f>
        <v>-7566.7655786350269</v>
      </c>
      <c r="Q137" s="275"/>
      <c r="R137" s="275"/>
      <c r="S137" s="275"/>
    </row>
    <row r="138" spans="1:19" ht="17.25" thickBot="1">
      <c r="A138" s="124" t="s">
        <v>222</v>
      </c>
      <c r="B138" s="125">
        <v>18.600000000000001</v>
      </c>
      <c r="C138" s="73">
        <v>-2.10526316E-2</v>
      </c>
      <c r="D138" s="15">
        <v>17.899999999999999</v>
      </c>
      <c r="E138" s="32">
        <f t="shared" si="70"/>
        <v>-3.7634408602150685E-2</v>
      </c>
      <c r="F138" s="18">
        <f>IF(ISNUMBER(D138), $B145 * E138, "")</f>
        <v>-5645.1612903226023</v>
      </c>
      <c r="G138" s="31">
        <v>17.7</v>
      </c>
      <c r="H138" s="32">
        <f t="shared" si="71"/>
        <v>-4.8387096774193658E-2</v>
      </c>
      <c r="I138" s="97">
        <f>IF(ISNUMBER(G138), $B145 * H138, "")</f>
        <v>-7258.0645161290486</v>
      </c>
      <c r="J138" s="15">
        <v>17.5</v>
      </c>
      <c r="K138" s="32">
        <f t="shared" si="72"/>
        <v>-5.9139784946236632E-2</v>
      </c>
      <c r="L138" s="18">
        <f>IF(ISNUMBER(J138), $B145 * K138, "")</f>
        <v>-8870.9677419354939</v>
      </c>
      <c r="M138" s="31">
        <v>17.600000000000001</v>
      </c>
      <c r="N138" s="32">
        <f t="shared" si="73"/>
        <v>-5.3763440860215048E-2</v>
      </c>
      <c r="O138" s="18">
        <f>IF(ISNUMBER(M138), $B145 * N138, "")</f>
        <v>-8064.5161290322576</v>
      </c>
      <c r="Q138" s="270"/>
      <c r="R138" s="270"/>
      <c r="S138" s="270"/>
    </row>
    <row r="139" spans="1:19" ht="17.25" thickBot="1">
      <c r="A139" s="126" t="s">
        <v>218</v>
      </c>
      <c r="B139" s="127">
        <v>27.9</v>
      </c>
      <c r="C139" s="74">
        <v>-2.4475524500000002E-2</v>
      </c>
      <c r="D139" s="20">
        <v>26.8</v>
      </c>
      <c r="E139" s="21">
        <f t="shared" si="70"/>
        <v>-3.9426523297490967E-2</v>
      </c>
      <c r="F139" s="22">
        <f>IF(ISNUMBER(D139), $B145 * E139, "")</f>
        <v>-5913.978494623645</v>
      </c>
      <c r="G139" s="30">
        <v>26.7</v>
      </c>
      <c r="H139" s="21">
        <f t="shared" si="71"/>
        <v>-4.3010752688172019E-2</v>
      </c>
      <c r="I139" s="101">
        <f>IF(ISNUMBER(G139), $B145 * H139, "")</f>
        <v>-6451.6129032258032</v>
      </c>
      <c r="J139" s="20">
        <v>26.3</v>
      </c>
      <c r="K139" s="21">
        <f t="shared" si="72"/>
        <v>-5.7347670250895981E-2</v>
      </c>
      <c r="L139" s="22">
        <f>IF(ISNUMBER(J139), $B145 * K139, "")</f>
        <v>-8602.1505376343976</v>
      </c>
      <c r="M139" s="30">
        <v>26.4</v>
      </c>
      <c r="N139" s="21">
        <f t="shared" si="73"/>
        <v>-5.3763440860215055E-2</v>
      </c>
      <c r="O139" s="22">
        <f>IF(ISNUMBER(M139), $B145 * N139, "")</f>
        <v>-8064.5161290322585</v>
      </c>
      <c r="Q139" s="270"/>
      <c r="R139" s="270"/>
      <c r="S139" s="270"/>
    </row>
    <row r="140" spans="1:19" ht="17.25" thickBot="1">
      <c r="A140" s="124" t="s">
        <v>254</v>
      </c>
      <c r="B140" s="128">
        <v>83.8</v>
      </c>
      <c r="C140" s="76">
        <v>-2.6713124299999998E-2</v>
      </c>
      <c r="D140" s="102">
        <v>81.400000000000006</v>
      </c>
      <c r="E140" s="103">
        <f>IF(ISNUMBER(D140), (D140 - $B140) / $B140, "")</f>
        <v>-2.8639618138424722E-2</v>
      </c>
      <c r="F140" s="104">
        <f>IF(ISNUMBER(D140), $B145 * E140, "")</f>
        <v>-4295.9427207637082</v>
      </c>
      <c r="G140" s="105">
        <v>80.2</v>
      </c>
      <c r="H140" s="103">
        <f>IF(ISNUMBER(G140), (G140 - $B140) / $B140, "")</f>
        <v>-4.2959427207637166E-2</v>
      </c>
      <c r="I140" s="106">
        <f>IF(ISNUMBER(G140), $B145 * H140, "")</f>
        <v>-6443.9140811455745</v>
      </c>
      <c r="J140" s="102">
        <v>78.900000000000006</v>
      </c>
      <c r="K140" s="103">
        <f>IF(ISNUMBER(J140), (J140 - $B140) / $B140, "")</f>
        <v>-5.8472553699283912E-2</v>
      </c>
      <c r="L140" s="104">
        <f>IF(ISNUMBER(J140), $B145 * K140, "")</f>
        <v>-8770.8830548925871</v>
      </c>
      <c r="M140" s="105">
        <v>80.3</v>
      </c>
      <c r="N140" s="103">
        <f>IF(ISNUMBER(M140), (M140 - $B140) / $B140, "")</f>
        <v>-4.1766109785202864E-2</v>
      </c>
      <c r="O140" s="104">
        <f>IF(ISNUMBER(M140), $B145 * N140, "")</f>
        <v>-6264.9164677804292</v>
      </c>
      <c r="Q140" s="275"/>
      <c r="R140" s="275"/>
      <c r="S140" s="275"/>
    </row>
    <row r="141" spans="1:19" ht="17.25" thickBot="1">
      <c r="A141" s="124" t="s">
        <v>214</v>
      </c>
      <c r="B141" s="125">
        <v>21.6</v>
      </c>
      <c r="C141" s="73">
        <v>-2.7027026999999999E-2</v>
      </c>
      <c r="D141" s="15">
        <v>20.8</v>
      </c>
      <c r="E141" s="32">
        <f t="shared" ref="E141:E144" si="74">IF(ISNUMBER(D141), (D141 - $B141) / $B141, "")</f>
        <v>-3.703703703703707E-2</v>
      </c>
      <c r="F141" s="18">
        <f>IF(ISNUMBER(D141), $B145 * E141, "")</f>
        <v>-5555.5555555555602</v>
      </c>
      <c r="G141" s="31">
        <v>20.5</v>
      </c>
      <c r="H141" s="32">
        <f t="shared" ref="H141:H144" si="75">IF(ISNUMBER(G141), (G141 - $B141) / $B141, "")</f>
        <v>-5.0925925925925986E-2</v>
      </c>
      <c r="I141" s="97">
        <f>IF(ISNUMBER(G141), $B145 * H141, "")</f>
        <v>-7638.8888888888978</v>
      </c>
      <c r="J141" s="15">
        <v>20.3</v>
      </c>
      <c r="K141" s="32">
        <f t="shared" ref="K141:K144" si="76">IF(ISNUMBER(J141), (J141 - $B141) / $B141, "")</f>
        <v>-6.0185185185185217E-2</v>
      </c>
      <c r="L141" s="18">
        <f>IF(ISNUMBER(J141), $B145 * K141, "")</f>
        <v>-9027.7777777777828</v>
      </c>
      <c r="M141" s="31">
        <v>20.5</v>
      </c>
      <c r="N141" s="32">
        <f t="shared" ref="N141:N144" si="77">IF(ISNUMBER(M141), (M141 - $B141) / $B141, "")</f>
        <v>-5.0925925925925986E-2</v>
      </c>
      <c r="O141" s="18">
        <f>IF(ISNUMBER(M141), $B145 * N141, "")</f>
        <v>-7638.8888888888978</v>
      </c>
      <c r="Q141" s="275"/>
      <c r="R141" s="275"/>
      <c r="S141" s="275"/>
    </row>
    <row r="142" spans="1:19" ht="17.25" thickBot="1">
      <c r="A142" s="124" t="s">
        <v>152</v>
      </c>
      <c r="B142" s="125">
        <v>49.7</v>
      </c>
      <c r="C142" s="73">
        <v>-2.73972603E-2</v>
      </c>
      <c r="D142" s="15">
        <v>48.7</v>
      </c>
      <c r="E142" s="32">
        <f t="shared" si="74"/>
        <v>-2.0120724346076459E-2</v>
      </c>
      <c r="F142" s="18">
        <f>IF(ISNUMBER(D142), $B145 * E142, "")</f>
        <v>-3018.1086519114688</v>
      </c>
      <c r="G142" s="31">
        <v>48</v>
      </c>
      <c r="H142" s="32">
        <f t="shared" si="75"/>
        <v>-3.4205231388330037E-2</v>
      </c>
      <c r="I142" s="97">
        <f>IF(ISNUMBER(G142), $B145 * H142, "")</f>
        <v>-5130.7847082495055</v>
      </c>
      <c r="J142" s="15">
        <v>47.5</v>
      </c>
      <c r="K142" s="32">
        <f t="shared" si="76"/>
        <v>-4.4265593561368263E-2</v>
      </c>
      <c r="L142" s="18">
        <f>IF(ISNUMBER(J142), $B145 * K142, "")</f>
        <v>-6639.8390342052398</v>
      </c>
      <c r="M142" s="31">
        <v>47.4</v>
      </c>
      <c r="N142" s="32">
        <f t="shared" si="77"/>
        <v>-4.6277665995975936E-2</v>
      </c>
      <c r="O142" s="18">
        <f>IF(ISNUMBER(M142), $B145 * N142, "")</f>
        <v>-6941.6498993963905</v>
      </c>
      <c r="Q142" s="275"/>
      <c r="R142" s="275"/>
      <c r="S142" s="275"/>
    </row>
    <row r="143" spans="1:19">
      <c r="A143" s="124" t="s">
        <v>198</v>
      </c>
      <c r="B143" s="125">
        <v>27.7</v>
      </c>
      <c r="C143" s="73">
        <v>-3.4843205600000003E-2</v>
      </c>
      <c r="D143" s="15">
        <v>26.8</v>
      </c>
      <c r="E143" s="32">
        <f t="shared" si="74"/>
        <v>-3.2490974729241826E-2</v>
      </c>
      <c r="F143" s="18">
        <f>IF(ISNUMBER(D143), $B145 * E143, "")</f>
        <v>-4873.6462093862738</v>
      </c>
      <c r="G143" s="31">
        <v>26.6</v>
      </c>
      <c r="H143" s="32">
        <f t="shared" si="75"/>
        <v>-3.9711191335739998E-2</v>
      </c>
      <c r="I143" s="97">
        <f>IF(ISNUMBER(G143), $B145 * H143, "")</f>
        <v>-5956.6787003609998</v>
      </c>
      <c r="J143" s="15">
        <v>26.1</v>
      </c>
      <c r="K143" s="32">
        <f t="shared" si="76"/>
        <v>-5.7761732851985485E-2</v>
      </c>
      <c r="L143" s="18">
        <f>IF(ISNUMBER(J143), $B145 * K143, "")</f>
        <v>-8664.2599277978225</v>
      </c>
      <c r="M143" s="31">
        <v>26.3</v>
      </c>
      <c r="N143" s="32">
        <f t="shared" si="77"/>
        <v>-5.0541516245487313E-2</v>
      </c>
      <c r="O143" s="18">
        <f>IF(ISNUMBER(M143), $B145 * N143, "")</f>
        <v>-7581.2274368230965</v>
      </c>
      <c r="Q143" s="297"/>
      <c r="R143" s="298"/>
      <c r="S143" s="299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00"/>
      <c r="R144" s="301"/>
      <c r="S144" s="302"/>
    </row>
    <row r="145" spans="1:19" ht="17.25" thickBot="1">
      <c r="A145" s="131" t="s">
        <v>301</v>
      </c>
      <c r="B145" s="308">
        <f>$B$37</f>
        <v>150000</v>
      </c>
      <c r="C145" s="309"/>
      <c r="D145" s="26" t="s">
        <v>302</v>
      </c>
      <c r="E145" s="27">
        <f>IF(COUNT(E125:E144), SUM(E125:E144) / COUNT(E125:E144), 0)</f>
        <v>-2.920821517867268E-2</v>
      </c>
      <c r="F145" s="28">
        <f>SUM(F125:F144)</f>
        <v>-83243.413259217152</v>
      </c>
      <c r="G145" s="26" t="s">
        <v>302</v>
      </c>
      <c r="H145" s="27">
        <f>IF(COUNT(H125:H144), SUM(H125:H144) / COUNT(H125:H144), 0)</f>
        <v>-4.2111299463675984E-2</v>
      </c>
      <c r="I145" s="28">
        <f>SUM(I125:I144)</f>
        <v>-120017.20347147653</v>
      </c>
      <c r="J145" s="26" t="s">
        <v>302</v>
      </c>
      <c r="K145" s="27">
        <f>IF(COUNT(K125:K144), SUM(K125:K144) / COUNT(K125:K144), 0)</f>
        <v>-5.489145518080224E-2</v>
      </c>
      <c r="L145" s="28">
        <f>SUM(L125:L144)</f>
        <v>-156440.64726528642</v>
      </c>
      <c r="M145" s="26" t="s">
        <v>302</v>
      </c>
      <c r="N145" s="27">
        <f>IF(COUNT(N125:N144), SUM(N125:N144) / COUNT(N125:N144), 0)</f>
        <v>-4.9412140634203336E-2</v>
      </c>
      <c r="O145" s="28">
        <f>SUM(O125:O144)</f>
        <v>-140824.6008074795</v>
      </c>
      <c r="Q145" s="303"/>
      <c r="R145" s="304"/>
      <c r="S145" s="305"/>
    </row>
    <row r="147" spans="1:19" ht="17.25" thickBot="1"/>
    <row r="148" spans="1:19" ht="17.25" thickBot="1">
      <c r="A148" s="249" t="s">
        <v>289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1"/>
      <c r="Q148" s="270"/>
      <c r="R148" s="270"/>
      <c r="S148" s="270"/>
    </row>
    <row r="149" spans="1:19" ht="17.25" thickBot="1">
      <c r="A149" s="171" t="s">
        <v>298</v>
      </c>
      <c r="B149" s="249" t="s">
        <v>49</v>
      </c>
      <c r="C149" s="251"/>
      <c r="D149" s="249" t="s">
        <v>58</v>
      </c>
      <c r="E149" s="250"/>
      <c r="F149" s="251"/>
      <c r="G149" s="276">
        <f>_xlfn.IFNA(VLOOKUP(B149, 현재가테이블!$B$2:$D$200, 2, FALSE), "-")</f>
        <v>60874000</v>
      </c>
      <c r="H149" s="277"/>
      <c r="I149" s="278"/>
      <c r="J149" s="249" t="s">
        <v>59</v>
      </c>
      <c r="K149" s="250"/>
      <c r="L149" s="251"/>
      <c r="M149" s="279">
        <f>_xlfn.IFNA(VLOOKUP(B149, 현재가테이블!$B$2:$D$200, 3, FALSE), "-")</f>
        <v>-1.4936000099999999E-2</v>
      </c>
      <c r="N149" s="280"/>
      <c r="O149" s="281"/>
      <c r="Q149" s="270"/>
      <c r="R149" s="270"/>
      <c r="S149" s="270"/>
    </row>
    <row r="150" spans="1:19" ht="17.25" thickBot="1">
      <c r="A150" s="310" t="s">
        <v>55</v>
      </c>
      <c r="B150" s="312" t="str">
        <f>TEXT($G$1, "[$-ko-KR]yyyy-mm-dd(ddd) ") &amp; "오전 00:00"</f>
        <v>2021-05-09(일) 오전 00:00</v>
      </c>
      <c r="C150" s="313"/>
      <c r="D150" s="272" t="str">
        <f>TEXT($G$1, "[$-ko-KR]yyyy-mm-dd(ddd) ") &amp; "오후 14:00"</f>
        <v>2021-05-09(일) 오후 14:00</v>
      </c>
      <c r="E150" s="273"/>
      <c r="F150" s="274"/>
      <c r="G150" s="272" t="str">
        <f>TEXT($G$1, "[$-ko-KR]yyyy-mm-dd(ddd) ") &amp; "오후 19:00"</f>
        <v>2021-05-09(일) 오후 19:00</v>
      </c>
      <c r="H150" s="273"/>
      <c r="I150" s="274"/>
      <c r="J150" s="272" t="str">
        <f>TEXT($G$1, "[$-ko-KR]yyyy-mm-dd(ddd) ") &amp; "오후 21:00"</f>
        <v>2021-05-09(일) 오후 21:00</v>
      </c>
      <c r="K150" s="273"/>
      <c r="L150" s="274"/>
      <c r="M150" s="272" t="str">
        <f>TEXT($G$1+1, "[$-ko-KR]yyyy-mm-dd(ddd) ") &amp; "오전 00:00"</f>
        <v>2021-05-10(월) 오전 00:00</v>
      </c>
      <c r="N150" s="273"/>
      <c r="O150" s="274"/>
      <c r="Q150" s="270"/>
      <c r="R150" s="270"/>
      <c r="S150" s="270"/>
    </row>
    <row r="151" spans="1:19" ht="17.25" thickBot="1">
      <c r="A151" s="311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72" t="s">
        <v>58</v>
      </c>
      <c r="H151" s="173" t="s">
        <v>299</v>
      </c>
      <c r="I151" s="17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75"/>
      <c r="R151" s="275"/>
      <c r="S151" s="275"/>
    </row>
    <row r="152" spans="1:19" ht="17.25" thickBot="1">
      <c r="A152" s="122" t="s">
        <v>122</v>
      </c>
      <c r="B152" s="123">
        <v>117</v>
      </c>
      <c r="C152" s="72">
        <v>-8.4745762999999998E-3</v>
      </c>
      <c r="D152" s="13">
        <v>115</v>
      </c>
      <c r="E152" s="14">
        <f>IF(ISNUMBER(D152), (D152 - $B152) / $B152, "")</f>
        <v>-1.7094017094017096E-2</v>
      </c>
      <c r="F152" s="16">
        <f>IF(ISNUMBER(D152), $B172 * E152, "")</f>
        <v>-2564.1025641025644</v>
      </c>
      <c r="G152" s="29">
        <v>113</v>
      </c>
      <c r="H152" s="14">
        <f>IF(ISNUMBER(G152), (G152 - $B152) / $B152, "")</f>
        <v>-3.4188034188034191E-2</v>
      </c>
      <c r="I152" s="96">
        <f>IF(ISNUMBER(G152), $B172 * H152, "")</f>
        <v>-5128.2051282051289</v>
      </c>
      <c r="J152" s="13">
        <v>111</v>
      </c>
      <c r="K152" s="14">
        <f>IF(ISNUMBER(J152), (J152 - $B152) / $B152, "")</f>
        <v>-5.128205128205128E-2</v>
      </c>
      <c r="L152" s="16">
        <f>IF(ISNUMBER(J152), $B172 * K152, "")</f>
        <v>-7692.3076923076924</v>
      </c>
      <c r="M152" s="29">
        <v>112</v>
      </c>
      <c r="N152" s="14">
        <f>IF(ISNUMBER(M152), (M152 - $B152) / $B152, "")</f>
        <v>-4.2735042735042736E-2</v>
      </c>
      <c r="O152" s="16">
        <f>IF(ISNUMBER(M152), $B172 * N152, "")</f>
        <v>-6410.2564102564102</v>
      </c>
      <c r="Q152" s="270"/>
      <c r="R152" s="270"/>
      <c r="S152" s="270"/>
    </row>
    <row r="153" spans="1:19" ht="17.25" thickBot="1">
      <c r="A153" s="124" t="s">
        <v>208</v>
      </c>
      <c r="B153" s="125">
        <v>485</v>
      </c>
      <c r="C153" s="73">
        <v>-1.22199593E-2</v>
      </c>
      <c r="D153" s="15">
        <v>487</v>
      </c>
      <c r="E153" s="32">
        <f t="shared" ref="E153:E156" si="78">IF(ISNUMBER(D153), (D153 - $B153) / $B153, "")</f>
        <v>4.1237113402061857E-3</v>
      </c>
      <c r="F153" s="18">
        <f>IF(ISNUMBER(D153), $B172 * E153, "")</f>
        <v>618.5567010309278</v>
      </c>
      <c r="G153" s="31">
        <v>492</v>
      </c>
      <c r="H153" s="32">
        <f t="shared" ref="H153:H156" si="79">IF(ISNUMBER(G153), (G153 - $B153) / $B153, "")</f>
        <v>1.443298969072165E-2</v>
      </c>
      <c r="I153" s="97">
        <f>IF(ISNUMBER(G153), $B172 * H153, "")</f>
        <v>2164.9484536082477</v>
      </c>
      <c r="J153" s="15">
        <v>478</v>
      </c>
      <c r="K153" s="32">
        <f t="shared" ref="K153:K156" si="80">IF(ISNUMBER(J153), (J153 - $B153) / $B153, "")</f>
        <v>-1.443298969072165E-2</v>
      </c>
      <c r="L153" s="18">
        <f>IF(ISNUMBER(J153), $B172 * K153, "")</f>
        <v>-2164.9484536082477</v>
      </c>
      <c r="M153" s="31">
        <v>485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70"/>
      <c r="R153" s="270"/>
      <c r="S153" s="270"/>
    </row>
    <row r="154" spans="1:19" ht="17.25" thickBot="1">
      <c r="A154" s="124" t="s">
        <v>142</v>
      </c>
      <c r="B154" s="125">
        <v>482</v>
      </c>
      <c r="C154" s="73">
        <v>-1.2295082000000001E-2</v>
      </c>
      <c r="D154" s="15">
        <v>481</v>
      </c>
      <c r="E154" s="32">
        <f t="shared" si="78"/>
        <v>-2.0746887966804979E-3</v>
      </c>
      <c r="F154" s="18">
        <f>IF(ISNUMBER(D154), $B172 * E154, "")</f>
        <v>-311.20331950207469</v>
      </c>
      <c r="G154" s="31">
        <v>475</v>
      </c>
      <c r="H154" s="32">
        <f t="shared" si="79"/>
        <v>-1.4522821576763486E-2</v>
      </c>
      <c r="I154" s="97">
        <f>IF(ISNUMBER(G154), $B172 * H154, "")</f>
        <v>-2178.4232365145231</v>
      </c>
      <c r="J154" s="15">
        <v>469</v>
      </c>
      <c r="K154" s="32">
        <f t="shared" si="80"/>
        <v>-2.6970954356846474E-2</v>
      </c>
      <c r="L154" s="18">
        <f>IF(ISNUMBER(J154), $B172 * K154, "")</f>
        <v>-4045.6431535269712</v>
      </c>
      <c r="M154" s="31">
        <v>472</v>
      </c>
      <c r="N154" s="32">
        <f t="shared" si="81"/>
        <v>-2.0746887966804978E-2</v>
      </c>
      <c r="O154" s="18">
        <f>IF(ISNUMBER(M154), $B172 * N154, "")</f>
        <v>-3112.0331950207469</v>
      </c>
      <c r="Q154" s="275"/>
      <c r="R154" s="275"/>
      <c r="S154" s="275"/>
    </row>
    <row r="155" spans="1:19" ht="17.25" thickBot="1">
      <c r="A155" s="124" t="s">
        <v>57</v>
      </c>
      <c r="B155" s="125">
        <v>471</v>
      </c>
      <c r="C155" s="73">
        <v>-1.2578616399999999E-2</v>
      </c>
      <c r="D155" s="15">
        <v>458</v>
      </c>
      <c r="E155" s="32">
        <f t="shared" si="78"/>
        <v>-2.7600849256900213E-2</v>
      </c>
      <c r="F155" s="18">
        <f>IF(ISNUMBER(D155), $B172 * E155, "")</f>
        <v>-4140.127388535032</v>
      </c>
      <c r="G155" s="31">
        <v>454</v>
      </c>
      <c r="H155" s="32">
        <f t="shared" si="79"/>
        <v>-3.6093418259023353E-2</v>
      </c>
      <c r="I155" s="97">
        <f>IF(ISNUMBER(G155), $B172 * H155, "")</f>
        <v>-5414.0127388535029</v>
      </c>
      <c r="J155" s="15">
        <v>446</v>
      </c>
      <c r="K155" s="32">
        <f t="shared" si="80"/>
        <v>-5.3078556263269641E-2</v>
      </c>
      <c r="L155" s="18">
        <f>IF(ISNUMBER(J155), $B172 * K155, "")</f>
        <v>-7961.7834394904457</v>
      </c>
      <c r="M155" s="31">
        <v>445</v>
      </c>
      <c r="N155" s="32">
        <f t="shared" si="81"/>
        <v>-5.5201698513800426E-2</v>
      </c>
      <c r="O155" s="18">
        <f>IF(ISNUMBER(M155), $B172 * N155, "")</f>
        <v>-8280.2547770700639</v>
      </c>
      <c r="Q155" s="275"/>
      <c r="R155" s="275"/>
      <c r="S155" s="275"/>
    </row>
    <row r="156" spans="1:19" ht="17.25" thickBot="1">
      <c r="A156" s="126" t="s">
        <v>260</v>
      </c>
      <c r="B156" s="127">
        <v>121</v>
      </c>
      <c r="C156" s="74">
        <v>-1.6260162599999999E-2</v>
      </c>
      <c r="D156" s="20">
        <v>117</v>
      </c>
      <c r="E156" s="21">
        <f t="shared" si="78"/>
        <v>-3.3057851239669422E-2</v>
      </c>
      <c r="F156" s="22">
        <f>IF(ISNUMBER(D156), $B172 * E156, "")</f>
        <v>-4958.6776859504134</v>
      </c>
      <c r="G156" s="30">
        <v>114</v>
      </c>
      <c r="H156" s="21">
        <f t="shared" si="79"/>
        <v>-5.7851239669421489E-2</v>
      </c>
      <c r="I156" s="101">
        <f>IF(ISNUMBER(G156), $B172 * H156, "")</f>
        <v>-8677.6859504132226</v>
      </c>
      <c r="J156" s="20">
        <v>113</v>
      </c>
      <c r="K156" s="21">
        <f t="shared" si="80"/>
        <v>-6.6115702479338845E-2</v>
      </c>
      <c r="L156" s="22">
        <f>IF(ISNUMBER(J156), $B172 * K156, "")</f>
        <v>-9917.3553719008269</v>
      </c>
      <c r="M156" s="30">
        <v>114</v>
      </c>
      <c r="N156" s="21">
        <f t="shared" si="81"/>
        <v>-5.7851239669421489E-2</v>
      </c>
      <c r="O156" s="22">
        <f>IF(ISNUMBER(M156), $B172 * N156, "")</f>
        <v>-8677.6859504132226</v>
      </c>
      <c r="Q156" s="275"/>
      <c r="R156" s="275"/>
      <c r="S156" s="275"/>
    </row>
    <row r="157" spans="1:19" ht="17.25" thickBot="1">
      <c r="A157" s="124" t="s">
        <v>200</v>
      </c>
      <c r="B157" s="128">
        <v>360</v>
      </c>
      <c r="C157" s="76">
        <v>-1.6393442599999999E-2</v>
      </c>
      <c r="D157" s="102">
        <v>351</v>
      </c>
      <c r="E157" s="103">
        <f>IF(ISNUMBER(D157), (D157 - $B157) / $B157, "")</f>
        <v>-2.5000000000000001E-2</v>
      </c>
      <c r="F157" s="104">
        <f>IF(ISNUMBER(D157), $B172 * E157, "")</f>
        <v>-3750</v>
      </c>
      <c r="G157" s="105">
        <v>348</v>
      </c>
      <c r="H157" s="103">
        <f>IF(ISNUMBER(G157), (G157 - $B157) / $B157, "")</f>
        <v>-3.3333333333333333E-2</v>
      </c>
      <c r="I157" s="106">
        <f>IF(ISNUMBER(G157), $B172 * H157, "")</f>
        <v>-5000</v>
      </c>
      <c r="J157" s="102">
        <v>340</v>
      </c>
      <c r="K157" s="103">
        <f>IF(ISNUMBER(J157), (J157 - $B157) / $B157, "")</f>
        <v>-5.5555555555555552E-2</v>
      </c>
      <c r="L157" s="104">
        <f>IF(ISNUMBER(J157), $B172 * K157, "")</f>
        <v>-8333.3333333333321</v>
      </c>
      <c r="M157" s="105">
        <v>344</v>
      </c>
      <c r="N157" s="103">
        <f>IF(ISNUMBER(M157), (M157 - $B157) / $B157, "")</f>
        <v>-4.4444444444444446E-2</v>
      </c>
      <c r="O157" s="104">
        <f>IF(ISNUMBER(M157), $B172 * N157, "")</f>
        <v>-6666.666666666667</v>
      </c>
      <c r="Q157" s="275"/>
      <c r="R157" s="275"/>
      <c r="S157" s="275"/>
    </row>
    <row r="158" spans="1:19" ht="17.25" thickBot="1">
      <c r="A158" s="124" t="s">
        <v>246</v>
      </c>
      <c r="B158" s="125">
        <v>390</v>
      </c>
      <c r="C158" s="73">
        <v>-1.76322418E-2</v>
      </c>
      <c r="D158" s="15">
        <v>376</v>
      </c>
      <c r="E158" s="32">
        <f t="shared" ref="E158:E161" si="82">IF(ISNUMBER(D158), (D158 - $B158) / $B158, "")</f>
        <v>-3.5897435897435895E-2</v>
      </c>
      <c r="F158" s="18">
        <f>IF(ISNUMBER(D158), $B172 * E158, "")</f>
        <v>-5384.6153846153838</v>
      </c>
      <c r="G158" s="31">
        <v>371</v>
      </c>
      <c r="H158" s="32">
        <f t="shared" ref="H158:H161" si="83">IF(ISNUMBER(G158), (G158 - $B158) / $B158, "")</f>
        <v>-4.8717948717948718E-2</v>
      </c>
      <c r="I158" s="97">
        <f>IF(ISNUMBER(G158), $B172 * H158, "")</f>
        <v>-7307.6923076923076</v>
      </c>
      <c r="J158" s="15">
        <v>368</v>
      </c>
      <c r="K158" s="32">
        <f t="shared" ref="K158:K161" si="84">IF(ISNUMBER(J158), (J158 - $B158) / $B158, "")</f>
        <v>-5.6410256410256411E-2</v>
      </c>
      <c r="L158" s="18">
        <f>IF(ISNUMBER(J158), $B172 * K158, "")</f>
        <v>-8461.538461538461</v>
      </c>
      <c r="M158" s="31">
        <v>368</v>
      </c>
      <c r="N158" s="32">
        <f t="shared" ref="N158:N161" si="85">IF(ISNUMBER(M158), (M158 - $B158) / $B158, "")</f>
        <v>-5.6410256410256411E-2</v>
      </c>
      <c r="O158" s="18">
        <f>IF(ISNUMBER(M158), $B172 * N158, "")</f>
        <v>-8461.538461538461</v>
      </c>
      <c r="Q158" s="275"/>
      <c r="R158" s="275"/>
      <c r="S158" s="275"/>
    </row>
    <row r="159" spans="1:19" ht="17.25" thickBot="1">
      <c r="A159" s="124" t="s">
        <v>226</v>
      </c>
      <c r="B159" s="125">
        <v>498</v>
      </c>
      <c r="C159" s="73">
        <v>-1.7751479300000001E-2</v>
      </c>
      <c r="D159" s="15">
        <v>503</v>
      </c>
      <c r="E159" s="32">
        <f t="shared" si="82"/>
        <v>1.0040160642570281E-2</v>
      </c>
      <c r="F159" s="18">
        <f>IF(ISNUMBER(D159), $B172 * E159, "")</f>
        <v>1506.0240963855422</v>
      </c>
      <c r="G159" s="31">
        <v>500</v>
      </c>
      <c r="H159" s="32">
        <f t="shared" si="83"/>
        <v>4.0160642570281121E-3</v>
      </c>
      <c r="I159" s="97">
        <f>IF(ISNUMBER(G159), $B172 * H159, "")</f>
        <v>602.40963855421683</v>
      </c>
      <c r="J159" s="15">
        <v>494</v>
      </c>
      <c r="K159" s="32">
        <f t="shared" si="84"/>
        <v>-8.0321285140562242E-3</v>
      </c>
      <c r="L159" s="18">
        <f>IF(ISNUMBER(J159), $B172 * K159, "")</f>
        <v>-1204.8192771084337</v>
      </c>
      <c r="M159" s="31">
        <v>493</v>
      </c>
      <c r="N159" s="32">
        <f t="shared" si="85"/>
        <v>-1.0040160642570281E-2</v>
      </c>
      <c r="O159" s="18">
        <f>IF(ISNUMBER(M159), $B172 * N159, "")</f>
        <v>-1506.0240963855422</v>
      </c>
      <c r="Q159" s="275"/>
      <c r="R159" s="275"/>
      <c r="S159" s="275"/>
    </row>
    <row r="160" spans="1:19" ht="17.25" thickBot="1">
      <c r="A160" s="124" t="s">
        <v>132</v>
      </c>
      <c r="B160" s="125">
        <v>273</v>
      </c>
      <c r="C160" s="73">
        <v>-1.7985611499999998E-2</v>
      </c>
      <c r="D160" s="15">
        <v>272</v>
      </c>
      <c r="E160" s="32">
        <f t="shared" si="82"/>
        <v>-3.663003663003663E-3</v>
      </c>
      <c r="F160" s="18">
        <f>IF(ISNUMBER(D160), $B172 * E160, "")</f>
        <v>-549.45054945054949</v>
      </c>
      <c r="G160" s="31">
        <v>271</v>
      </c>
      <c r="H160" s="32">
        <f t="shared" si="83"/>
        <v>-7.326007326007326E-3</v>
      </c>
      <c r="I160" s="97">
        <f>IF(ISNUMBER(G160), $B172 * H160, "")</f>
        <v>-1098.901098901099</v>
      </c>
      <c r="J160" s="15">
        <v>269</v>
      </c>
      <c r="K160" s="32">
        <f t="shared" si="84"/>
        <v>-1.4652014652014652E-2</v>
      </c>
      <c r="L160" s="18">
        <f>IF(ISNUMBER(J160), $B172 * K160, "")</f>
        <v>-2197.802197802198</v>
      </c>
      <c r="M160" s="31">
        <v>270</v>
      </c>
      <c r="N160" s="32">
        <f t="shared" si="85"/>
        <v>-1.098901098901099E-2</v>
      </c>
      <c r="O160" s="18">
        <f>IF(ISNUMBER(M160), $B172 * N160, "")</f>
        <v>-1648.3516483516485</v>
      </c>
      <c r="Q160" s="33"/>
      <c r="R160" s="33"/>
    </row>
    <row r="161" spans="1:19" ht="17.25" thickBot="1">
      <c r="A161" s="129" t="s">
        <v>256</v>
      </c>
      <c r="B161" s="130">
        <v>256</v>
      </c>
      <c r="C161" s="75">
        <v>-1.9157088100000001E-2</v>
      </c>
      <c r="D161" s="24">
        <v>249</v>
      </c>
      <c r="E161" s="25">
        <f t="shared" si="82"/>
        <v>-2.734375E-2</v>
      </c>
      <c r="F161" s="100">
        <f>IF(ISNUMBER(D161), $B172 * E161, "")</f>
        <v>-4101.5625</v>
      </c>
      <c r="G161" s="98">
        <v>246</v>
      </c>
      <c r="H161" s="25">
        <f t="shared" si="83"/>
        <v>-3.90625E-2</v>
      </c>
      <c r="I161" s="99">
        <f>IF(ISNUMBER(G161), $B172 * H161, "")</f>
        <v>-5859.375</v>
      </c>
      <c r="J161" s="24">
        <v>244</v>
      </c>
      <c r="K161" s="25">
        <f t="shared" si="84"/>
        <v>-4.6875E-2</v>
      </c>
      <c r="L161" s="100">
        <f>IF(ISNUMBER(J161), $B172 * K161, "")</f>
        <v>-7031.25</v>
      </c>
      <c r="M161" s="98">
        <v>248</v>
      </c>
      <c r="N161" s="25">
        <f t="shared" si="85"/>
        <v>-3.125E-2</v>
      </c>
      <c r="O161" s="100">
        <f>IF(ISNUMBER(M161), $B172 * N161, "")</f>
        <v>-4687.5</v>
      </c>
      <c r="Q161" s="284"/>
      <c r="R161" s="285"/>
      <c r="S161" s="286"/>
    </row>
    <row r="162" spans="1:19">
      <c r="A162" s="122" t="s">
        <v>210</v>
      </c>
      <c r="B162" s="123">
        <v>189</v>
      </c>
      <c r="C162" s="72">
        <v>-2.0725388599999998E-2</v>
      </c>
      <c r="D162" s="13">
        <v>182</v>
      </c>
      <c r="E162" s="14">
        <f>IF(ISNUMBER(D162), (D162 - $B162) / $B162, "")</f>
        <v>-3.7037037037037035E-2</v>
      </c>
      <c r="F162" s="16">
        <f>IF(ISNUMBER(D162), $B172 * E162, "")</f>
        <v>-5555.5555555555557</v>
      </c>
      <c r="G162" s="29">
        <v>176</v>
      </c>
      <c r="H162" s="14">
        <f>IF(ISNUMBER(G162), (G162 - $B162) / $B162, "")</f>
        <v>-6.8783068783068779E-2</v>
      </c>
      <c r="I162" s="96">
        <f>IF(ISNUMBER(G162), $B172 * H162, "")</f>
        <v>-10317.460317460316</v>
      </c>
      <c r="J162" s="13">
        <v>175</v>
      </c>
      <c r="K162" s="14">
        <f>IF(ISNUMBER(J162), (J162 - $B162) / $B162, "")</f>
        <v>-7.407407407407407E-2</v>
      </c>
      <c r="L162" s="16">
        <f>IF(ISNUMBER(J162), $B172 * K162, "")</f>
        <v>-11111.111111111111</v>
      </c>
      <c r="M162" s="29">
        <v>178</v>
      </c>
      <c r="N162" s="14">
        <f>IF(ISNUMBER(M162), (M162 - $B162) / $B162, "")</f>
        <v>-5.8201058201058198E-2</v>
      </c>
      <c r="O162" s="16">
        <f>IF(ISNUMBER(M162), $B172 * N162, "")</f>
        <v>-8730.1587301587297</v>
      </c>
      <c r="Q162" s="287"/>
      <c r="R162" s="288"/>
      <c r="S162" s="289"/>
    </row>
    <row r="163" spans="1:19" ht="17.25" thickBot="1">
      <c r="A163" s="124" t="s">
        <v>230</v>
      </c>
      <c r="B163" s="125">
        <v>170</v>
      </c>
      <c r="C163" s="73">
        <v>-2.2988505699999998E-2</v>
      </c>
      <c r="D163" s="15">
        <v>163</v>
      </c>
      <c r="E163" s="32">
        <f t="shared" ref="E163:E166" si="86">IF(ISNUMBER(D163), (D163 - $B163) / $B163, "")</f>
        <v>-4.1176470588235294E-2</v>
      </c>
      <c r="F163" s="18">
        <f>IF(ISNUMBER(D163), $B172 * E163, "")</f>
        <v>-6176.4705882352937</v>
      </c>
      <c r="G163" s="31">
        <v>163</v>
      </c>
      <c r="H163" s="32">
        <f t="shared" ref="H163:H166" si="87">IF(ISNUMBER(G163), (G163 - $B163) / $B163, "")</f>
        <v>-4.1176470588235294E-2</v>
      </c>
      <c r="I163" s="97">
        <f>IF(ISNUMBER(G163), $B172 * H163, "")</f>
        <v>-6176.4705882352937</v>
      </c>
      <c r="J163" s="15">
        <v>158</v>
      </c>
      <c r="K163" s="32">
        <f t="shared" ref="K163:K166" si="88">IF(ISNUMBER(J163), (J163 - $B163) / $B163, "")</f>
        <v>-7.0588235294117646E-2</v>
      </c>
      <c r="L163" s="18">
        <f>IF(ISNUMBER(J163), $B172 * K163, "")</f>
        <v>-10588.235294117647</v>
      </c>
      <c r="M163" s="31">
        <v>160</v>
      </c>
      <c r="N163" s="32">
        <f t="shared" ref="N163:N166" si="89">IF(ISNUMBER(M163), (M163 - $B163) / $B163, "")</f>
        <v>-5.8823529411764705E-2</v>
      </c>
      <c r="O163" s="18">
        <f>IF(ISNUMBER(M163), $B172 * N163, "")</f>
        <v>-8823.5294117647063</v>
      </c>
      <c r="Q163" s="290"/>
      <c r="R163" s="291"/>
      <c r="S163" s="292"/>
    </row>
    <row r="164" spans="1:19" ht="17.25" thickBot="1">
      <c r="A164" s="124" t="s">
        <v>240</v>
      </c>
      <c r="B164" s="125">
        <v>179</v>
      </c>
      <c r="C164" s="73">
        <v>-2.7173913000000001E-2</v>
      </c>
      <c r="D164" s="15">
        <v>185</v>
      </c>
      <c r="E164" s="32">
        <f t="shared" si="86"/>
        <v>3.3519553072625698E-2</v>
      </c>
      <c r="F164" s="18">
        <f>IF(ISNUMBER(D164), $B172 * E164, "")</f>
        <v>5027.9329608938542</v>
      </c>
      <c r="G164" s="31">
        <v>184</v>
      </c>
      <c r="H164" s="32">
        <f t="shared" si="87"/>
        <v>2.7932960893854747E-2</v>
      </c>
      <c r="I164" s="97">
        <f>IF(ISNUMBER(G164), $B172 * H164, "")</f>
        <v>4189.9441340782123</v>
      </c>
      <c r="J164" s="15">
        <v>180</v>
      </c>
      <c r="K164" s="32">
        <f t="shared" si="88"/>
        <v>5.5865921787709499E-3</v>
      </c>
      <c r="L164" s="18">
        <f>IF(ISNUMBER(J164), $B172 * K164, "")</f>
        <v>837.98882681564248</v>
      </c>
      <c r="M164" s="31">
        <v>181</v>
      </c>
      <c r="N164" s="32">
        <f t="shared" si="89"/>
        <v>1.11731843575419E-2</v>
      </c>
      <c r="O164" s="18">
        <f>IF(ISNUMBER(M164), $B172 * N164, "")</f>
        <v>1675.977653631285</v>
      </c>
      <c r="Q164" s="275"/>
      <c r="R164" s="275"/>
      <c r="S164" s="275"/>
    </row>
    <row r="165" spans="1:19" ht="17.25" thickBot="1">
      <c r="A165" s="124" t="s">
        <v>54</v>
      </c>
      <c r="B165" s="125">
        <v>356</v>
      </c>
      <c r="C165" s="73">
        <v>-2.73224044E-2</v>
      </c>
      <c r="D165" s="15">
        <v>357</v>
      </c>
      <c r="E165" s="32">
        <f t="shared" si="86"/>
        <v>2.8089887640449437E-3</v>
      </c>
      <c r="F165" s="18">
        <f>IF(ISNUMBER(D165), $B172 * E165, "")</f>
        <v>421.34831460674155</v>
      </c>
      <c r="G165" s="31">
        <v>352</v>
      </c>
      <c r="H165" s="32">
        <f t="shared" si="87"/>
        <v>-1.1235955056179775E-2</v>
      </c>
      <c r="I165" s="97">
        <f>IF(ISNUMBER(G165), $B172 * H165, "")</f>
        <v>-1685.3932584269662</v>
      </c>
      <c r="J165" s="15">
        <v>352</v>
      </c>
      <c r="K165" s="32">
        <f t="shared" si="88"/>
        <v>-1.1235955056179775E-2</v>
      </c>
      <c r="L165" s="18">
        <f>IF(ISNUMBER(J165), $B172 * K165, "")</f>
        <v>-1685.3932584269662</v>
      </c>
      <c r="M165" s="31">
        <v>354</v>
      </c>
      <c r="N165" s="32">
        <f t="shared" si="89"/>
        <v>-5.6179775280898875E-3</v>
      </c>
      <c r="O165" s="18">
        <f>IF(ISNUMBER(M165), $B172 * N165, "")</f>
        <v>-842.69662921348311</v>
      </c>
      <c r="Q165" s="270"/>
      <c r="R165" s="270"/>
      <c r="S165" s="270"/>
    </row>
    <row r="166" spans="1:19" ht="17.25" thickBot="1">
      <c r="A166" s="126" t="s">
        <v>170</v>
      </c>
      <c r="B166" s="127">
        <v>557</v>
      </c>
      <c r="C166" s="74">
        <v>-2.9616724699999999E-2</v>
      </c>
      <c r="D166" s="20">
        <v>538</v>
      </c>
      <c r="E166" s="21">
        <f t="shared" si="86"/>
        <v>-3.4111310592459608E-2</v>
      </c>
      <c r="F166" s="22">
        <f>IF(ISNUMBER(D166), $B172 * E166, "")</f>
        <v>-5116.696588868941</v>
      </c>
      <c r="G166" s="30">
        <v>537</v>
      </c>
      <c r="H166" s="21">
        <f t="shared" si="87"/>
        <v>-3.5906642728904849E-2</v>
      </c>
      <c r="I166" s="101">
        <f>IF(ISNUMBER(G166), $B172 * H166, "")</f>
        <v>-5385.9964093357275</v>
      </c>
      <c r="J166" s="20">
        <v>528</v>
      </c>
      <c r="K166" s="21">
        <f t="shared" si="88"/>
        <v>-5.2064631956912029E-2</v>
      </c>
      <c r="L166" s="22">
        <f>IF(ISNUMBER(J166), $B172 * K166, "")</f>
        <v>-7809.6947935368044</v>
      </c>
      <c r="M166" s="30">
        <v>534</v>
      </c>
      <c r="N166" s="21">
        <f t="shared" si="89"/>
        <v>-4.1292639138240578E-2</v>
      </c>
      <c r="O166" s="22">
        <f>IF(ISNUMBER(M166), $B172 * N166, "")</f>
        <v>-6193.8958707360871</v>
      </c>
      <c r="Q166" s="270"/>
      <c r="R166" s="270"/>
      <c r="S166" s="270"/>
    </row>
    <row r="167" spans="1:19" ht="17.25" thickBot="1">
      <c r="A167" s="124" t="s">
        <v>216</v>
      </c>
      <c r="B167" s="128">
        <v>508</v>
      </c>
      <c r="C167" s="76">
        <v>-3.0534351099999999E-2</v>
      </c>
      <c r="D167" s="102">
        <v>492</v>
      </c>
      <c r="E167" s="103">
        <f>IF(ISNUMBER(D167), (D167 - $B167) / $B167, "")</f>
        <v>-3.1496062992125984E-2</v>
      </c>
      <c r="F167" s="104">
        <f>IF(ISNUMBER(D167), $B172 * E167, "")</f>
        <v>-4724.4094488188975</v>
      </c>
      <c r="G167" s="105">
        <v>488</v>
      </c>
      <c r="H167" s="103">
        <f>IF(ISNUMBER(G167), (G167 - $B167) / $B167, "")</f>
        <v>-3.937007874015748E-2</v>
      </c>
      <c r="I167" s="106">
        <f>IF(ISNUMBER(G167), $B172 * H167, "")</f>
        <v>-5905.5118110236217</v>
      </c>
      <c r="J167" s="102">
        <v>484</v>
      </c>
      <c r="K167" s="103">
        <f>IF(ISNUMBER(J167), (J167 - $B167) / $B167, "")</f>
        <v>-4.7244094488188976E-2</v>
      </c>
      <c r="L167" s="104">
        <f>IF(ISNUMBER(J167), $B172 * K167, "")</f>
        <v>-7086.6141732283468</v>
      </c>
      <c r="M167" s="105">
        <v>488</v>
      </c>
      <c r="N167" s="103">
        <f>IF(ISNUMBER(M167), (M167 - $B167) / $B167, "")</f>
        <v>-3.937007874015748E-2</v>
      </c>
      <c r="O167" s="104">
        <f>IF(ISNUMBER(M167), $B172 * N167, "")</f>
        <v>-5905.5118110236217</v>
      </c>
      <c r="Q167" s="275"/>
      <c r="R167" s="275"/>
      <c r="S167" s="275"/>
    </row>
    <row r="168" spans="1:19" ht="17.25" thickBot="1">
      <c r="A168" s="124" t="s">
        <v>174</v>
      </c>
      <c r="B168" s="125">
        <v>276</v>
      </c>
      <c r="C168" s="73">
        <v>-3.1578947400000001E-2</v>
      </c>
      <c r="D168" s="15">
        <v>269</v>
      </c>
      <c r="E168" s="32">
        <f t="shared" ref="E168:E171" si="90">IF(ISNUMBER(D168), (D168 - $B168) / $B168, "")</f>
        <v>-2.5362318840579712E-2</v>
      </c>
      <c r="F168" s="18">
        <f>IF(ISNUMBER(D168), $B172 * E168, "")</f>
        <v>-3804.347826086957</v>
      </c>
      <c r="G168" s="31">
        <v>265</v>
      </c>
      <c r="H168" s="32">
        <f t="shared" ref="H168:H171" si="91">IF(ISNUMBER(G168), (G168 - $B168) / $B168, "")</f>
        <v>-3.9855072463768113E-2</v>
      </c>
      <c r="I168" s="97">
        <f>IF(ISNUMBER(G168), $B172 * H168, "")</f>
        <v>-5978.260869565217</v>
      </c>
      <c r="J168" s="15">
        <v>261</v>
      </c>
      <c r="K168" s="32">
        <f t="shared" ref="K168:K171" si="92">IF(ISNUMBER(J168), (J168 - $B168) / $B168, "")</f>
        <v>-5.434782608695652E-2</v>
      </c>
      <c r="L168" s="18">
        <f>IF(ISNUMBER(J168), $B172 * K168, "")</f>
        <v>-8152.173913043478</v>
      </c>
      <c r="M168" s="31">
        <v>262</v>
      </c>
      <c r="N168" s="32">
        <f t="shared" ref="N168:N171" si="93">IF(ISNUMBER(M168), (M168 - $B168) / $B168, "")</f>
        <v>-5.0724637681159424E-2</v>
      </c>
      <c r="O168" s="18">
        <f>IF(ISNUMBER(M168), $B172 * N168, "")</f>
        <v>-7608.6956521739139</v>
      </c>
      <c r="Q168" s="275"/>
      <c r="R168" s="275"/>
      <c r="S168" s="275"/>
    </row>
    <row r="169" spans="1:19" ht="17.25" thickBot="1">
      <c r="A169" s="124" t="s">
        <v>232</v>
      </c>
      <c r="B169" s="125">
        <v>183</v>
      </c>
      <c r="C169" s="73">
        <v>-3.1746031700000003E-2</v>
      </c>
      <c r="D169" s="15">
        <v>181</v>
      </c>
      <c r="E169" s="32">
        <f t="shared" si="90"/>
        <v>-1.092896174863388E-2</v>
      </c>
      <c r="F169" s="18">
        <f>IF(ISNUMBER(D169), $B172 * E169, "")</f>
        <v>-1639.344262295082</v>
      </c>
      <c r="G169" s="31">
        <v>178</v>
      </c>
      <c r="H169" s="32">
        <f t="shared" si="91"/>
        <v>-2.7322404371584699E-2</v>
      </c>
      <c r="I169" s="97">
        <f>IF(ISNUMBER(G169), $B172 * H169, "")</f>
        <v>-4098.3606557377052</v>
      </c>
      <c r="J169" s="15">
        <v>175</v>
      </c>
      <c r="K169" s="32">
        <f t="shared" si="92"/>
        <v>-4.3715846994535519E-2</v>
      </c>
      <c r="L169" s="18">
        <f>IF(ISNUMBER(J169), $B172 * K169, "")</f>
        <v>-6557.377049180328</v>
      </c>
      <c r="M169" s="31">
        <v>176</v>
      </c>
      <c r="N169" s="32">
        <f t="shared" si="93"/>
        <v>-3.825136612021858E-2</v>
      </c>
      <c r="O169" s="18">
        <f>IF(ISNUMBER(M169), $B172 * N169, "")</f>
        <v>-5737.7049180327867</v>
      </c>
      <c r="Q169" s="275"/>
      <c r="R169" s="275"/>
      <c r="S169" s="275"/>
    </row>
    <row r="170" spans="1:19">
      <c r="A170" s="124" t="s">
        <v>134</v>
      </c>
      <c r="B170" s="125">
        <v>164</v>
      </c>
      <c r="C170" s="73">
        <v>-3.5294117600000001E-2</v>
      </c>
      <c r="D170" s="15">
        <v>156</v>
      </c>
      <c r="E170" s="32">
        <f t="shared" si="90"/>
        <v>-4.878048780487805E-2</v>
      </c>
      <c r="F170" s="18">
        <f>IF(ISNUMBER(D170), $B172 * E170, "")</f>
        <v>-7317.0731707317073</v>
      </c>
      <c r="G170" s="31">
        <v>154</v>
      </c>
      <c r="H170" s="32">
        <f t="shared" si="91"/>
        <v>-6.097560975609756E-2</v>
      </c>
      <c r="I170" s="97">
        <f>IF(ISNUMBER(G170), $B172 * H170, "")</f>
        <v>-9146.3414634146338</v>
      </c>
      <c r="J170" s="15">
        <v>153</v>
      </c>
      <c r="K170" s="32">
        <f t="shared" si="92"/>
        <v>-6.7073170731707321E-2</v>
      </c>
      <c r="L170" s="18">
        <f>IF(ISNUMBER(J170), $B172 * K170, "")</f>
        <v>-10060.975609756098</v>
      </c>
      <c r="M170" s="31">
        <v>155</v>
      </c>
      <c r="N170" s="32">
        <f t="shared" si="93"/>
        <v>-5.4878048780487805E-2</v>
      </c>
      <c r="O170" s="18">
        <f>IF(ISNUMBER(M170), $B172 * N170, "")</f>
        <v>-8231.707317073171</v>
      </c>
      <c r="Q170" s="297"/>
      <c r="R170" s="298"/>
      <c r="S170" s="299"/>
    </row>
    <row r="171" spans="1:19" ht="17.25" thickBot="1">
      <c r="A171" s="129" t="s">
        <v>282</v>
      </c>
      <c r="B171" s="130">
        <v>181</v>
      </c>
      <c r="C171" s="75">
        <v>-4.23280423E-2</v>
      </c>
      <c r="D171" s="24">
        <v>177</v>
      </c>
      <c r="E171" s="25">
        <f t="shared" si="90"/>
        <v>-2.2099447513812154E-2</v>
      </c>
      <c r="F171" s="100">
        <f>IF(ISNUMBER(D171), $B172 * E171, "")</f>
        <v>-3314.917127071823</v>
      </c>
      <c r="G171" s="98">
        <v>174</v>
      </c>
      <c r="H171" s="25">
        <f t="shared" si="91"/>
        <v>-3.8674033149171269E-2</v>
      </c>
      <c r="I171" s="99">
        <f>IF(ISNUMBER(G171), $B172 * H171, "")</f>
        <v>-5801.1049723756905</v>
      </c>
      <c r="J171" s="24">
        <v>169</v>
      </c>
      <c r="K171" s="25">
        <f t="shared" si="92"/>
        <v>-6.6298342541436461E-2</v>
      </c>
      <c r="L171" s="100">
        <f>IF(ISNUMBER(J171), $B172 * K171, "")</f>
        <v>-9944.7513812154684</v>
      </c>
      <c r="M171" s="98">
        <v>172</v>
      </c>
      <c r="N171" s="25">
        <f t="shared" si="93"/>
        <v>-4.9723756906077346E-2</v>
      </c>
      <c r="O171" s="100">
        <f>IF(ISNUMBER(M171), $B172 * N171, "")</f>
        <v>-7458.5635359116022</v>
      </c>
      <c r="Q171" s="300"/>
      <c r="R171" s="301"/>
      <c r="S171" s="302"/>
    </row>
    <row r="172" spans="1:19" ht="17.25" thickBot="1">
      <c r="A172" s="131" t="s">
        <v>301</v>
      </c>
      <c r="B172" s="308">
        <f>$B$37</f>
        <v>150000</v>
      </c>
      <c r="C172" s="309"/>
      <c r="D172" s="26" t="s">
        <v>302</v>
      </c>
      <c r="E172" s="27">
        <f>IF(COUNT(E152:E171), SUM(E152:E171) / COUNT(E152:E171), 0)</f>
        <v>-1.861156396230107E-2</v>
      </c>
      <c r="F172" s="28">
        <f>SUM(F152:F171)</f>
        <v>-55834.691886903216</v>
      </c>
      <c r="G172" s="26" t="s">
        <v>302</v>
      </c>
      <c r="H172" s="27">
        <f>IF(COUNT(H152:H171), SUM(H152:H171) / COUNT(H152:H171), 0)</f>
        <v>-2.9400631193304761E-2</v>
      </c>
      <c r="I172" s="28">
        <f>SUM(I152:I171)</f>
        <v>-88201.893579914278</v>
      </c>
      <c r="J172" s="26" t="s">
        <v>302</v>
      </c>
      <c r="K172" s="27">
        <f>IF(COUNT(K152:K171), SUM(K152:K171) / COUNT(K152:K171), 0)</f>
        <v>-4.3723039712472413E-2</v>
      </c>
      <c r="L172" s="28">
        <f>SUM(L152:L171)</f>
        <v>-131169.11913741723</v>
      </c>
      <c r="M172" s="26" t="s">
        <v>302</v>
      </c>
      <c r="N172" s="27">
        <f>IF(COUNT(N152:N171), SUM(N152:N171) / COUNT(N152:N171), 0)</f>
        <v>-3.5768932476053207E-2</v>
      </c>
      <c r="O172" s="28">
        <f>SUM(O152:O171)</f>
        <v>-107306.7974281596</v>
      </c>
      <c r="Q172" s="303"/>
      <c r="R172" s="304"/>
      <c r="S172" s="305"/>
    </row>
    <row r="174" spans="1:19" ht="17.25" thickBot="1"/>
    <row r="175" spans="1:19" ht="17.25" thickBot="1">
      <c r="A175" s="249" t="s">
        <v>285</v>
      </c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50"/>
      <c r="M175" s="250"/>
      <c r="N175" s="250"/>
      <c r="O175" s="251"/>
      <c r="Q175" s="270"/>
      <c r="R175" s="270"/>
      <c r="S175" s="270"/>
    </row>
    <row r="176" spans="1:19" ht="17.25" thickBot="1">
      <c r="A176" s="171" t="s">
        <v>298</v>
      </c>
      <c r="B176" s="249" t="s">
        <v>49</v>
      </c>
      <c r="C176" s="251"/>
      <c r="D176" s="249" t="s">
        <v>58</v>
      </c>
      <c r="E176" s="250"/>
      <c r="F176" s="251"/>
      <c r="G176" s="276">
        <f>_xlfn.IFNA(VLOOKUP(B176, 현재가테이블!$B$2:$D$200, 2, FALSE), "-")</f>
        <v>60874000</v>
      </c>
      <c r="H176" s="277"/>
      <c r="I176" s="278"/>
      <c r="J176" s="249" t="s">
        <v>59</v>
      </c>
      <c r="K176" s="250"/>
      <c r="L176" s="251"/>
      <c r="M176" s="279">
        <f>_xlfn.IFNA(VLOOKUP(B176, 현재가테이블!$B$2:$D$200, 3, FALSE), "-")</f>
        <v>-1.4936000099999999E-2</v>
      </c>
      <c r="N176" s="280"/>
      <c r="O176" s="281"/>
      <c r="Q176" s="270"/>
      <c r="R176" s="270"/>
      <c r="S176" s="270"/>
    </row>
    <row r="177" spans="1:19" ht="17.25" thickBot="1">
      <c r="A177" s="310" t="s">
        <v>55</v>
      </c>
      <c r="B177" s="312" t="str">
        <f>TEXT($G$1, "[$-ko-KR]yyyy-mm-dd(ddd) ") &amp; "오전 00:00"</f>
        <v>2021-05-09(일) 오전 00:00</v>
      </c>
      <c r="C177" s="313"/>
      <c r="D177" s="272" t="str">
        <f>TEXT($G$1, "[$-ko-KR]yyyy-mm-dd(ddd) ") &amp; "오후 14:00"</f>
        <v>2021-05-09(일) 오후 14:00</v>
      </c>
      <c r="E177" s="273"/>
      <c r="F177" s="274"/>
      <c r="G177" s="272" t="str">
        <f>TEXT($G$1, "[$-ko-KR]yyyy-mm-dd(ddd) ") &amp; "오후 19:00"</f>
        <v>2021-05-09(일) 오후 19:00</v>
      </c>
      <c r="H177" s="273"/>
      <c r="I177" s="274"/>
      <c r="J177" s="272" t="str">
        <f>TEXT($G$1, "[$-ko-KR]yyyy-mm-dd(ddd) ") &amp; "오후 21:00"</f>
        <v>2021-05-09(일) 오후 21:00</v>
      </c>
      <c r="K177" s="273"/>
      <c r="L177" s="274"/>
      <c r="M177" s="272" t="str">
        <f>TEXT($G$1+1, "[$-ko-KR]yyyy-mm-dd(ddd) ") &amp; "오전 00:00"</f>
        <v>2021-05-10(월) 오전 00:00</v>
      </c>
      <c r="N177" s="273"/>
      <c r="O177" s="274"/>
      <c r="Q177" s="270"/>
      <c r="R177" s="270"/>
      <c r="S177" s="270"/>
    </row>
    <row r="178" spans="1:19" ht="17.25" thickBot="1">
      <c r="A178" s="311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72" t="s">
        <v>58</v>
      </c>
      <c r="H178" s="173" t="s">
        <v>299</v>
      </c>
      <c r="I178" s="17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75"/>
      <c r="R178" s="275"/>
      <c r="S178" s="275"/>
    </row>
    <row r="179" spans="1:19" ht="17.25" thickBot="1">
      <c r="A179" s="122" t="s">
        <v>254</v>
      </c>
      <c r="B179" s="123">
        <v>83.8</v>
      </c>
      <c r="C179" s="72">
        <v>-2.6713124299999998E-2</v>
      </c>
      <c r="D179" s="13">
        <v>81.400000000000006</v>
      </c>
      <c r="E179" s="14">
        <f>IF(ISNUMBER(D179), (D179 - $B179) / $B179, "")</f>
        <v>-2.8639618138424722E-2</v>
      </c>
      <c r="F179" s="16">
        <f>IF(ISNUMBER(D179), $B199 * E179, "")</f>
        <v>-4295.9427207637082</v>
      </c>
      <c r="G179" s="29">
        <v>80.2</v>
      </c>
      <c r="H179" s="14">
        <f>IF(ISNUMBER(G179), (G179 - $B179) / $B179, "")</f>
        <v>-4.2959427207637166E-2</v>
      </c>
      <c r="I179" s="96">
        <f>IF(ISNUMBER(G179), $B199 * H179, "")</f>
        <v>-6443.9140811455745</v>
      </c>
      <c r="J179" s="13">
        <v>78.900000000000006</v>
      </c>
      <c r="K179" s="14">
        <f>IF(ISNUMBER(J179), (J179 - $B179) / $B179, "")</f>
        <v>-5.8472553699283912E-2</v>
      </c>
      <c r="L179" s="16">
        <f>IF(ISNUMBER(J179), $B199 * K179, "")</f>
        <v>-8770.8830548925871</v>
      </c>
      <c r="M179" s="29">
        <v>80.3</v>
      </c>
      <c r="N179" s="14">
        <f>IF(ISNUMBER(M179), (M179 - $B179) / $B179, "")</f>
        <v>-4.1766109785202864E-2</v>
      </c>
      <c r="O179" s="16">
        <f>IF(ISNUMBER(M179), $B199 * N179, "")</f>
        <v>-6264.9164677804292</v>
      </c>
      <c r="Q179" s="270"/>
      <c r="R179" s="270"/>
      <c r="S179" s="270"/>
    </row>
    <row r="180" spans="1:19" ht="17.25" thickBot="1">
      <c r="A180" s="124" t="s">
        <v>214</v>
      </c>
      <c r="B180" s="125">
        <v>21.6</v>
      </c>
      <c r="C180" s="73">
        <v>-2.7027026999999999E-2</v>
      </c>
      <c r="D180" s="15">
        <v>20.8</v>
      </c>
      <c r="E180" s="32">
        <f t="shared" ref="E180:E183" si="94">IF(ISNUMBER(D180), (D180 - $B180) / $B180, "")</f>
        <v>-3.703703703703707E-2</v>
      </c>
      <c r="F180" s="18">
        <f>IF(ISNUMBER(D180), $B199 * E180, "")</f>
        <v>-5555.5555555555602</v>
      </c>
      <c r="G180" s="31">
        <v>20.5</v>
      </c>
      <c r="H180" s="32">
        <f t="shared" ref="H180:H183" si="95">IF(ISNUMBER(G180), (G180 - $B180) / $B180, "")</f>
        <v>-5.0925925925925986E-2</v>
      </c>
      <c r="I180" s="97">
        <f>IF(ISNUMBER(G180), $B199 * H180, "")</f>
        <v>-7638.8888888888978</v>
      </c>
      <c r="J180" s="15">
        <v>20.3</v>
      </c>
      <c r="K180" s="32">
        <f t="shared" ref="K180:K183" si="96">IF(ISNUMBER(J180), (J180 - $B180) / $B180, "")</f>
        <v>-6.0185185185185217E-2</v>
      </c>
      <c r="L180" s="18">
        <f>IF(ISNUMBER(J180), $B199 * K180, "")</f>
        <v>-9027.7777777777828</v>
      </c>
      <c r="M180" s="31">
        <v>20.5</v>
      </c>
      <c r="N180" s="32">
        <f t="shared" ref="N180:N183" si="97">IF(ISNUMBER(M180), (M180 - $B180) / $B180, "")</f>
        <v>-5.0925925925925986E-2</v>
      </c>
      <c r="O180" s="18">
        <f>IF(ISNUMBER(M180), $B199 * N180, "")</f>
        <v>-7638.8888888888978</v>
      </c>
      <c r="Q180" s="270"/>
      <c r="R180" s="270"/>
      <c r="S180" s="270"/>
    </row>
    <row r="181" spans="1:19" ht="17.25" thickBot="1">
      <c r="A181" s="124" t="s">
        <v>240</v>
      </c>
      <c r="B181" s="125">
        <v>179</v>
      </c>
      <c r="C181" s="73">
        <v>-2.7173913000000001E-2</v>
      </c>
      <c r="D181" s="15">
        <v>185</v>
      </c>
      <c r="E181" s="32">
        <f t="shared" si="94"/>
        <v>3.3519553072625698E-2</v>
      </c>
      <c r="F181" s="18">
        <f>IF(ISNUMBER(D181), $B199 * E181, "")</f>
        <v>5027.9329608938542</v>
      </c>
      <c r="G181" s="31">
        <v>184</v>
      </c>
      <c r="H181" s="32">
        <f t="shared" si="95"/>
        <v>2.7932960893854747E-2</v>
      </c>
      <c r="I181" s="97">
        <f>IF(ISNUMBER(G181), $B199 * H181, "")</f>
        <v>4189.9441340782123</v>
      </c>
      <c r="J181" s="15">
        <v>180</v>
      </c>
      <c r="K181" s="32">
        <f t="shared" si="96"/>
        <v>5.5865921787709499E-3</v>
      </c>
      <c r="L181" s="18">
        <f>IF(ISNUMBER(J181), $B199 * K181, "")</f>
        <v>837.98882681564248</v>
      </c>
      <c r="M181" s="31">
        <v>181</v>
      </c>
      <c r="N181" s="32">
        <f t="shared" si="97"/>
        <v>1.11731843575419E-2</v>
      </c>
      <c r="O181" s="18">
        <f>IF(ISNUMBER(M181), $B199 * N181, "")</f>
        <v>1675.977653631285</v>
      </c>
      <c r="Q181" s="275"/>
      <c r="R181" s="275"/>
      <c r="S181" s="275"/>
    </row>
    <row r="182" spans="1:19" ht="17.25" thickBot="1">
      <c r="A182" s="124" t="s">
        <v>54</v>
      </c>
      <c r="B182" s="125">
        <v>356</v>
      </c>
      <c r="C182" s="73">
        <v>-2.73224044E-2</v>
      </c>
      <c r="D182" s="15">
        <v>357</v>
      </c>
      <c r="E182" s="32">
        <f t="shared" si="94"/>
        <v>2.8089887640449437E-3</v>
      </c>
      <c r="F182" s="18">
        <f>IF(ISNUMBER(D182), $B199 * E182, "")</f>
        <v>421.34831460674155</v>
      </c>
      <c r="G182" s="31">
        <v>352</v>
      </c>
      <c r="H182" s="32">
        <f t="shared" si="95"/>
        <v>-1.1235955056179775E-2</v>
      </c>
      <c r="I182" s="97">
        <f>IF(ISNUMBER(G182), $B199 * H182, "")</f>
        <v>-1685.3932584269662</v>
      </c>
      <c r="J182" s="15">
        <v>352</v>
      </c>
      <c r="K182" s="32">
        <f t="shared" si="96"/>
        <v>-1.1235955056179775E-2</v>
      </c>
      <c r="L182" s="18">
        <f>IF(ISNUMBER(J182), $B199 * K182, "")</f>
        <v>-1685.3932584269662</v>
      </c>
      <c r="M182" s="31">
        <v>354</v>
      </c>
      <c r="N182" s="32">
        <f t="shared" si="97"/>
        <v>-5.6179775280898875E-3</v>
      </c>
      <c r="O182" s="18">
        <f>IF(ISNUMBER(M182), $B199 * N182, "")</f>
        <v>-842.69662921348311</v>
      </c>
      <c r="Q182" s="275"/>
      <c r="R182" s="275"/>
      <c r="S182" s="275"/>
    </row>
    <row r="183" spans="1:19" ht="17.25" thickBot="1">
      <c r="A183" s="126" t="s">
        <v>152</v>
      </c>
      <c r="B183" s="127">
        <v>49.7</v>
      </c>
      <c r="C183" s="74">
        <v>-2.73972603E-2</v>
      </c>
      <c r="D183" s="20">
        <v>48.7</v>
      </c>
      <c r="E183" s="21">
        <f t="shared" si="94"/>
        <v>-2.0120724346076459E-2</v>
      </c>
      <c r="F183" s="22">
        <f>IF(ISNUMBER(D183), $B199 * E183, "")</f>
        <v>-3018.1086519114688</v>
      </c>
      <c r="G183" s="30">
        <v>48</v>
      </c>
      <c r="H183" s="21">
        <f t="shared" si="95"/>
        <v>-3.4205231388330037E-2</v>
      </c>
      <c r="I183" s="101">
        <f>IF(ISNUMBER(G183), $B199 * H183, "")</f>
        <v>-5130.7847082495055</v>
      </c>
      <c r="J183" s="20">
        <v>47.5</v>
      </c>
      <c r="K183" s="21">
        <f t="shared" si="96"/>
        <v>-4.4265593561368263E-2</v>
      </c>
      <c r="L183" s="22">
        <f>IF(ISNUMBER(J183), $B199 * K183, "")</f>
        <v>-6639.8390342052398</v>
      </c>
      <c r="M183" s="30">
        <v>47.4</v>
      </c>
      <c r="N183" s="21">
        <f t="shared" si="97"/>
        <v>-4.6277665995975936E-2</v>
      </c>
      <c r="O183" s="22">
        <f>IF(ISNUMBER(M183), $B199 * N183, "")</f>
        <v>-6941.6498993963905</v>
      </c>
      <c r="Q183" s="275"/>
      <c r="R183" s="275"/>
      <c r="S183" s="275"/>
    </row>
    <row r="184" spans="1:19" ht="17.25" thickBot="1">
      <c r="A184" s="124" t="s">
        <v>192</v>
      </c>
      <c r="B184" s="128">
        <v>1240</v>
      </c>
      <c r="C184" s="76">
        <v>-2.7450980400000002E-2</v>
      </c>
      <c r="D184" s="102">
        <v>1230</v>
      </c>
      <c r="E184" s="103">
        <f>IF(ISNUMBER(D184), (D184 - $B184) / $B184, "")</f>
        <v>-8.0645161290322578E-3</v>
      </c>
      <c r="F184" s="104">
        <f>IF(ISNUMBER(D184), $B199 * E184, "")</f>
        <v>-1209.6774193548388</v>
      </c>
      <c r="G184" s="105">
        <v>1215</v>
      </c>
      <c r="H184" s="103">
        <f>IF(ISNUMBER(G184), (G184 - $B184) / $B184, "")</f>
        <v>-2.0161290322580645E-2</v>
      </c>
      <c r="I184" s="106">
        <f>IF(ISNUMBER(G184), $B199 * H184, "")</f>
        <v>-3024.1935483870966</v>
      </c>
      <c r="J184" s="102">
        <v>1195</v>
      </c>
      <c r="K184" s="103">
        <f>IF(ISNUMBER(J184), (J184 - $B184) / $B184, "")</f>
        <v>-3.6290322580645164E-2</v>
      </c>
      <c r="L184" s="104">
        <f>IF(ISNUMBER(J184), $B199 * K184, "")</f>
        <v>-5443.5483870967746</v>
      </c>
      <c r="M184" s="105">
        <v>1210</v>
      </c>
      <c r="N184" s="103">
        <f>IF(ISNUMBER(M184), (M184 - $B184) / $B184, "")</f>
        <v>-2.4193548387096774E-2</v>
      </c>
      <c r="O184" s="104">
        <f>IF(ISNUMBER(M184), $B199 * N184, "")</f>
        <v>-3629.0322580645161</v>
      </c>
      <c r="Q184" s="275"/>
      <c r="R184" s="275"/>
      <c r="S184" s="275"/>
    </row>
    <row r="185" spans="1:19" ht="17.25" thickBot="1">
      <c r="A185" s="124" t="s">
        <v>84</v>
      </c>
      <c r="B185" s="125">
        <v>1925</v>
      </c>
      <c r="C185" s="73">
        <v>-2.77777778E-2</v>
      </c>
      <c r="D185" s="15">
        <v>2050</v>
      </c>
      <c r="E185" s="32">
        <f t="shared" ref="E185:E188" si="98">IF(ISNUMBER(D185), (D185 - $B185) / $B185, "")</f>
        <v>6.4935064935064929E-2</v>
      </c>
      <c r="F185" s="18">
        <f>IF(ISNUMBER(D185), $B199 * E185, "")</f>
        <v>9740.2597402597385</v>
      </c>
      <c r="G185" s="31">
        <v>2110</v>
      </c>
      <c r="H185" s="32">
        <f t="shared" ref="H185:H188" si="99">IF(ISNUMBER(G185), (G185 - $B185) / $B185, "")</f>
        <v>9.6103896103896108E-2</v>
      </c>
      <c r="I185" s="97">
        <f>IF(ISNUMBER(G185), $B199 * H185, "")</f>
        <v>14415.584415584417</v>
      </c>
      <c r="J185" s="15">
        <v>2125</v>
      </c>
      <c r="K185" s="32">
        <f t="shared" ref="K185:K188" si="100">IF(ISNUMBER(J185), (J185 - $B185) / $B185, "")</f>
        <v>0.1038961038961039</v>
      </c>
      <c r="L185" s="18">
        <f>IF(ISNUMBER(J185), $B199 * K185, "")</f>
        <v>15584.415584415585</v>
      </c>
      <c r="M185" s="31">
        <v>2220</v>
      </c>
      <c r="N185" s="32">
        <f t="shared" ref="N185:N188" si="101">IF(ISNUMBER(M185), (M185 - $B185) / $B185, "")</f>
        <v>0.15324675324675324</v>
      </c>
      <c r="O185" s="18">
        <f>IF(ISNUMBER(M185), $B199 * N185, "")</f>
        <v>22987.012987012986</v>
      </c>
      <c r="Q185" s="275"/>
      <c r="R185" s="275"/>
      <c r="S185" s="275"/>
    </row>
    <row r="186" spans="1:19" ht="17.25" thickBot="1">
      <c r="A186" s="124" t="s">
        <v>146</v>
      </c>
      <c r="B186" s="125">
        <v>18960</v>
      </c>
      <c r="C186" s="73">
        <v>-2.8688524600000001E-2</v>
      </c>
      <c r="D186" s="15">
        <v>18660</v>
      </c>
      <c r="E186" s="32">
        <f t="shared" si="98"/>
        <v>-1.5822784810126583E-2</v>
      </c>
      <c r="F186" s="18">
        <f>IF(ISNUMBER(D186), $B199 * E186, "")</f>
        <v>-2373.4177215189875</v>
      </c>
      <c r="G186" s="31">
        <v>18380</v>
      </c>
      <c r="H186" s="32">
        <f t="shared" si="99"/>
        <v>-3.059071729957806E-2</v>
      </c>
      <c r="I186" s="97">
        <f>IF(ISNUMBER(G186), $B199 * H186, "")</f>
        <v>-4588.6075949367087</v>
      </c>
      <c r="J186" s="15">
        <v>18050</v>
      </c>
      <c r="K186" s="32">
        <f t="shared" si="100"/>
        <v>-4.7995780590717296E-2</v>
      </c>
      <c r="L186" s="18">
        <f>IF(ISNUMBER(J186), $B199 * K186, "")</f>
        <v>-7199.3670886075943</v>
      </c>
      <c r="M186" s="31">
        <v>18300</v>
      </c>
      <c r="N186" s="32">
        <f t="shared" si="101"/>
        <v>-3.4810126582278479E-2</v>
      </c>
      <c r="O186" s="18">
        <f>IF(ISNUMBER(M186), $B199 * N186, "")</f>
        <v>-5221.5189873417721</v>
      </c>
      <c r="Q186" s="275"/>
      <c r="R186" s="275"/>
      <c r="S186" s="275"/>
    </row>
    <row r="187" spans="1:19" ht="17.25" thickBot="1">
      <c r="A187" s="124" t="s">
        <v>170</v>
      </c>
      <c r="B187" s="125">
        <v>557</v>
      </c>
      <c r="C187" s="73">
        <v>-2.9616724699999999E-2</v>
      </c>
      <c r="D187" s="15">
        <v>538</v>
      </c>
      <c r="E187" s="32">
        <f t="shared" si="98"/>
        <v>-3.4111310592459608E-2</v>
      </c>
      <c r="F187" s="18">
        <f>IF(ISNUMBER(D187), $B199 * E187, "")</f>
        <v>-5116.696588868941</v>
      </c>
      <c r="G187" s="31">
        <v>537</v>
      </c>
      <c r="H187" s="32">
        <f t="shared" si="99"/>
        <v>-3.5906642728904849E-2</v>
      </c>
      <c r="I187" s="97">
        <f>IF(ISNUMBER(G187), $B199 * H187, "")</f>
        <v>-5385.9964093357275</v>
      </c>
      <c r="J187" s="15">
        <v>528</v>
      </c>
      <c r="K187" s="32">
        <f t="shared" si="100"/>
        <v>-5.2064631956912029E-2</v>
      </c>
      <c r="L187" s="18">
        <f>IF(ISNUMBER(J187), $B199 * K187, "")</f>
        <v>-7809.6947935368044</v>
      </c>
      <c r="M187" s="31">
        <v>534</v>
      </c>
      <c r="N187" s="32">
        <f t="shared" si="101"/>
        <v>-4.1292639138240578E-2</v>
      </c>
      <c r="O187" s="18">
        <f>IF(ISNUMBER(M187), $B199 * N187, "")</f>
        <v>-6193.8958707360871</v>
      </c>
      <c r="Q187" s="33"/>
      <c r="R187" s="33"/>
    </row>
    <row r="188" spans="1:19" ht="17.25" thickBot="1">
      <c r="A188" s="129" t="s">
        <v>216</v>
      </c>
      <c r="B188" s="130">
        <v>508</v>
      </c>
      <c r="C188" s="75">
        <v>-3.0534351099999999E-2</v>
      </c>
      <c r="D188" s="24">
        <v>492</v>
      </c>
      <c r="E188" s="25">
        <f t="shared" si="98"/>
        <v>-3.1496062992125984E-2</v>
      </c>
      <c r="F188" s="100">
        <f>IF(ISNUMBER(D188), $B199 * E188, "")</f>
        <v>-4724.4094488188975</v>
      </c>
      <c r="G188" s="98">
        <v>488</v>
      </c>
      <c r="H188" s="25">
        <f t="shared" si="99"/>
        <v>-3.937007874015748E-2</v>
      </c>
      <c r="I188" s="99">
        <f>IF(ISNUMBER(G188), $B199 * H188, "")</f>
        <v>-5905.5118110236217</v>
      </c>
      <c r="J188" s="24">
        <v>484</v>
      </c>
      <c r="K188" s="25">
        <f t="shared" si="100"/>
        <v>-4.7244094488188976E-2</v>
      </c>
      <c r="L188" s="100">
        <f>IF(ISNUMBER(J188), $B199 * K188, "")</f>
        <v>-7086.6141732283468</v>
      </c>
      <c r="M188" s="98">
        <v>488</v>
      </c>
      <c r="N188" s="25">
        <f t="shared" si="101"/>
        <v>-3.937007874015748E-2</v>
      </c>
      <c r="O188" s="100">
        <f>IF(ISNUMBER(M188), $B199 * N188, "")</f>
        <v>-5905.5118110236217</v>
      </c>
      <c r="Q188" s="284"/>
      <c r="R188" s="285"/>
      <c r="S188" s="286"/>
    </row>
    <row r="189" spans="1:19">
      <c r="A189" s="122" t="s">
        <v>174</v>
      </c>
      <c r="B189" s="123">
        <v>276</v>
      </c>
      <c r="C189" s="72">
        <v>-3.1578947400000001E-2</v>
      </c>
      <c r="D189" s="13">
        <v>269</v>
      </c>
      <c r="E189" s="14">
        <f>IF(ISNUMBER(D189), (D189 - $B189) / $B189, "")</f>
        <v>-2.5362318840579712E-2</v>
      </c>
      <c r="F189" s="16">
        <f>IF(ISNUMBER(D189), $B199 * E189, "")</f>
        <v>-3804.347826086957</v>
      </c>
      <c r="G189" s="29">
        <v>265</v>
      </c>
      <c r="H189" s="14">
        <f>IF(ISNUMBER(G189), (G189 - $B189) / $B189, "")</f>
        <v>-3.9855072463768113E-2</v>
      </c>
      <c r="I189" s="96">
        <f>IF(ISNUMBER(G189), $B199 * H189, "")</f>
        <v>-5978.260869565217</v>
      </c>
      <c r="J189" s="13">
        <v>261</v>
      </c>
      <c r="K189" s="14">
        <f>IF(ISNUMBER(J189), (J189 - $B189) / $B189, "")</f>
        <v>-5.434782608695652E-2</v>
      </c>
      <c r="L189" s="16">
        <f>IF(ISNUMBER(J189), $B199 * K189, "")</f>
        <v>-8152.173913043478</v>
      </c>
      <c r="M189" s="29">
        <v>262</v>
      </c>
      <c r="N189" s="14">
        <f>IF(ISNUMBER(M189), (M189 - $B189) / $B189, "")</f>
        <v>-5.0724637681159424E-2</v>
      </c>
      <c r="O189" s="16">
        <f>IF(ISNUMBER(M189), $B199 * N189, "")</f>
        <v>-7608.6956521739139</v>
      </c>
      <c r="Q189" s="287"/>
      <c r="R189" s="288"/>
      <c r="S189" s="289"/>
    </row>
    <row r="190" spans="1:19" ht="17.25" thickBot="1">
      <c r="A190" s="124" t="s">
        <v>232</v>
      </c>
      <c r="B190" s="125">
        <v>183</v>
      </c>
      <c r="C190" s="73">
        <v>-3.1746031700000003E-2</v>
      </c>
      <c r="D190" s="15">
        <v>181</v>
      </c>
      <c r="E190" s="32">
        <f t="shared" ref="E190:E193" si="102">IF(ISNUMBER(D190), (D190 - $B190) / $B190, "")</f>
        <v>-1.092896174863388E-2</v>
      </c>
      <c r="F190" s="18">
        <f>IF(ISNUMBER(D190), $B199 * E190, "")</f>
        <v>-1639.344262295082</v>
      </c>
      <c r="G190" s="31">
        <v>178</v>
      </c>
      <c r="H190" s="32">
        <f t="shared" ref="H190:H193" si="103">IF(ISNUMBER(G190), (G190 - $B190) / $B190, "")</f>
        <v>-2.7322404371584699E-2</v>
      </c>
      <c r="I190" s="97">
        <f>IF(ISNUMBER(G190), $B199 * H190, "")</f>
        <v>-4098.3606557377052</v>
      </c>
      <c r="J190" s="15">
        <v>175</v>
      </c>
      <c r="K190" s="32">
        <f t="shared" ref="K190:K193" si="104">IF(ISNUMBER(J190), (J190 - $B190) / $B190, "")</f>
        <v>-4.3715846994535519E-2</v>
      </c>
      <c r="L190" s="18">
        <f>IF(ISNUMBER(J190), $B199 * K190, "")</f>
        <v>-6557.377049180328</v>
      </c>
      <c r="M190" s="31">
        <v>176</v>
      </c>
      <c r="N190" s="32">
        <f t="shared" ref="N190:N193" si="105">IF(ISNUMBER(M190), (M190 - $B190) / $B190, "")</f>
        <v>-3.825136612021858E-2</v>
      </c>
      <c r="O190" s="18">
        <f>IF(ISNUMBER(M190), $B199 * N190, "")</f>
        <v>-5737.7049180327867</v>
      </c>
      <c r="Q190" s="290"/>
      <c r="R190" s="291"/>
      <c r="S190" s="292"/>
    </row>
    <row r="191" spans="1:19" ht="17.25" thickBot="1">
      <c r="A191" s="124" t="s">
        <v>108</v>
      </c>
      <c r="B191" s="125">
        <v>61790</v>
      </c>
      <c r="C191" s="73">
        <v>-3.2717595500000002E-2</v>
      </c>
      <c r="D191" s="15">
        <v>60330</v>
      </c>
      <c r="E191" s="32">
        <f t="shared" si="102"/>
        <v>-2.3628418837999675E-2</v>
      </c>
      <c r="F191" s="18">
        <f>IF(ISNUMBER(D191), $B199 * E191, "")</f>
        <v>-3544.262825699951</v>
      </c>
      <c r="G191" s="31">
        <v>58870</v>
      </c>
      <c r="H191" s="32">
        <f t="shared" si="103"/>
        <v>-4.725683767599935E-2</v>
      </c>
      <c r="I191" s="97">
        <f>IF(ISNUMBER(G191), $B199 * H191, "")</f>
        <v>-7088.525651399902</v>
      </c>
      <c r="J191" s="15">
        <v>57970</v>
      </c>
      <c r="K191" s="32">
        <f t="shared" si="104"/>
        <v>-6.1822301343259424E-2</v>
      </c>
      <c r="L191" s="18">
        <f>IF(ISNUMBER(J191), $B199 * K191, "")</f>
        <v>-9273.3452014889135</v>
      </c>
      <c r="M191" s="31">
        <v>58710</v>
      </c>
      <c r="N191" s="32">
        <f t="shared" si="105"/>
        <v>-4.984625343906781E-2</v>
      </c>
      <c r="O191" s="18">
        <f>IF(ISNUMBER(M191), $B199 * N191, "")</f>
        <v>-7476.9380158601716</v>
      </c>
      <c r="Q191" s="275"/>
      <c r="R191" s="275"/>
      <c r="S191" s="275"/>
    </row>
    <row r="192" spans="1:19" ht="17.25" thickBot="1">
      <c r="A192" s="124" t="s">
        <v>198</v>
      </c>
      <c r="B192" s="125">
        <v>27.7</v>
      </c>
      <c r="C192" s="73">
        <v>-3.4843205600000003E-2</v>
      </c>
      <c r="D192" s="15">
        <v>26.8</v>
      </c>
      <c r="E192" s="32">
        <f t="shared" si="102"/>
        <v>-3.2490974729241826E-2</v>
      </c>
      <c r="F192" s="18">
        <f>IF(ISNUMBER(D192), $B199 * E192, "")</f>
        <v>-4873.6462093862738</v>
      </c>
      <c r="G192" s="31">
        <v>26.6</v>
      </c>
      <c r="H192" s="32">
        <f t="shared" si="103"/>
        <v>-3.9711191335739998E-2</v>
      </c>
      <c r="I192" s="97">
        <f>IF(ISNUMBER(G192), $B199 * H192, "")</f>
        <v>-5956.6787003609998</v>
      </c>
      <c r="J192" s="15">
        <v>26.1</v>
      </c>
      <c r="K192" s="32">
        <f t="shared" si="104"/>
        <v>-5.7761732851985485E-2</v>
      </c>
      <c r="L192" s="18">
        <f>IF(ISNUMBER(J192), $B199 * K192, "")</f>
        <v>-8664.2599277978225</v>
      </c>
      <c r="M192" s="31">
        <v>26.3</v>
      </c>
      <c r="N192" s="32">
        <f t="shared" si="105"/>
        <v>-5.0541516245487313E-2</v>
      </c>
      <c r="O192" s="18">
        <f>IF(ISNUMBER(M192), $B199 * N192, "")</f>
        <v>-7581.2274368230965</v>
      </c>
      <c r="Q192" s="270"/>
      <c r="R192" s="270"/>
      <c r="S192" s="270"/>
    </row>
    <row r="193" spans="1:19" ht="17.25" thickBot="1">
      <c r="A193" s="126" t="s">
        <v>134</v>
      </c>
      <c r="B193" s="127">
        <v>164</v>
      </c>
      <c r="C193" s="74">
        <v>-3.5294117600000001E-2</v>
      </c>
      <c r="D193" s="20">
        <v>156</v>
      </c>
      <c r="E193" s="21">
        <f t="shared" si="102"/>
        <v>-4.878048780487805E-2</v>
      </c>
      <c r="F193" s="22">
        <f>IF(ISNUMBER(D193), $B199 * E193, "")</f>
        <v>-7317.0731707317073</v>
      </c>
      <c r="G193" s="30">
        <v>154</v>
      </c>
      <c r="H193" s="21">
        <f t="shared" si="103"/>
        <v>-6.097560975609756E-2</v>
      </c>
      <c r="I193" s="101">
        <f>IF(ISNUMBER(G193), $B199 * H193, "")</f>
        <v>-9146.3414634146338</v>
      </c>
      <c r="J193" s="20">
        <v>153</v>
      </c>
      <c r="K193" s="21">
        <f t="shared" si="104"/>
        <v>-6.7073170731707321E-2</v>
      </c>
      <c r="L193" s="22">
        <f>IF(ISNUMBER(J193), $B199 * K193, "")</f>
        <v>-10060.975609756098</v>
      </c>
      <c r="M193" s="30">
        <v>155</v>
      </c>
      <c r="N193" s="21">
        <f t="shared" si="105"/>
        <v>-5.4878048780487805E-2</v>
      </c>
      <c r="O193" s="22">
        <f>IF(ISNUMBER(M193), $B199 * N193, "")</f>
        <v>-8231.707317073171</v>
      </c>
      <c r="Q193" s="270"/>
      <c r="R193" s="270"/>
      <c r="S193" s="270"/>
    </row>
    <row r="194" spans="1:19" ht="17.25" thickBot="1">
      <c r="A194" s="124" t="s">
        <v>184</v>
      </c>
      <c r="B194" s="128">
        <v>2815</v>
      </c>
      <c r="C194" s="76">
        <v>-3.7606837599999998E-2</v>
      </c>
      <c r="D194" s="102">
        <v>2760</v>
      </c>
      <c r="E194" s="103">
        <f>IF(ISNUMBER(D194), (D194 - $B194) / $B194, "")</f>
        <v>-1.9538188277087035E-2</v>
      </c>
      <c r="F194" s="104">
        <f>IF(ISNUMBER(D194), $B199 * E194, "")</f>
        <v>-2930.7282415630552</v>
      </c>
      <c r="G194" s="105">
        <v>2735</v>
      </c>
      <c r="H194" s="103">
        <f>IF(ISNUMBER(G194), (G194 - $B194) / $B194, "")</f>
        <v>-2.8419182948490232E-2</v>
      </c>
      <c r="I194" s="106">
        <f>IF(ISNUMBER(G194), $B199 * H194, "")</f>
        <v>-4262.8774422735351</v>
      </c>
      <c r="J194" s="102">
        <v>2750</v>
      </c>
      <c r="K194" s="103">
        <f>IF(ISNUMBER(J194), (J194 - $B194) / $B194, "")</f>
        <v>-2.3090586145648313E-2</v>
      </c>
      <c r="L194" s="104">
        <f>IF(ISNUMBER(J194), $B199 * K194, "")</f>
        <v>-3463.5879218472469</v>
      </c>
      <c r="M194" s="105">
        <v>2750</v>
      </c>
      <c r="N194" s="103">
        <f>IF(ISNUMBER(M194), (M194 - $B194) / $B194, "")</f>
        <v>-2.3090586145648313E-2</v>
      </c>
      <c r="O194" s="104">
        <f>IF(ISNUMBER(M194), $B199 * N194, "")</f>
        <v>-3463.5879218472469</v>
      </c>
      <c r="Q194" s="275"/>
      <c r="R194" s="275"/>
      <c r="S194" s="275"/>
    </row>
    <row r="195" spans="1:19" ht="17.25" thickBot="1">
      <c r="A195" s="124" t="s">
        <v>282</v>
      </c>
      <c r="B195" s="125">
        <v>181</v>
      </c>
      <c r="C195" s="73">
        <v>-4.23280423E-2</v>
      </c>
      <c r="D195" s="15">
        <v>177</v>
      </c>
      <c r="E195" s="32">
        <f t="shared" ref="E195:E198" si="106">IF(ISNUMBER(D195), (D195 - $B195) / $B195, "")</f>
        <v>-2.2099447513812154E-2</v>
      </c>
      <c r="F195" s="18">
        <f>IF(ISNUMBER(D195), $B199 * E195, "")</f>
        <v>-3314.917127071823</v>
      </c>
      <c r="G195" s="31">
        <v>174</v>
      </c>
      <c r="H195" s="32">
        <f t="shared" ref="H195:H198" si="107">IF(ISNUMBER(G195), (G195 - $B195) / $B195, "")</f>
        <v>-3.8674033149171269E-2</v>
      </c>
      <c r="I195" s="97">
        <f>IF(ISNUMBER(G195), $B199 * H195, "")</f>
        <v>-5801.1049723756905</v>
      </c>
      <c r="J195" s="15">
        <v>169</v>
      </c>
      <c r="K195" s="32">
        <f t="shared" ref="K195:K198" si="108">IF(ISNUMBER(J195), (J195 - $B195) / $B195, "")</f>
        <v>-6.6298342541436461E-2</v>
      </c>
      <c r="L195" s="18">
        <f>IF(ISNUMBER(J195), $B199 * K195, "")</f>
        <v>-9944.7513812154684</v>
      </c>
      <c r="M195" s="31">
        <v>172</v>
      </c>
      <c r="N195" s="32">
        <f t="shared" ref="N195:N198" si="109">IF(ISNUMBER(M195), (M195 - $B195) / $B195, "")</f>
        <v>-4.9723756906077346E-2</v>
      </c>
      <c r="O195" s="18">
        <f>IF(ISNUMBER(M195), $B199 * N195, "")</f>
        <v>-7458.5635359116022</v>
      </c>
      <c r="Q195" s="275"/>
      <c r="R195" s="275"/>
      <c r="S195" s="275"/>
    </row>
    <row r="196" spans="1:19" ht="17.25" thickBot="1">
      <c r="A196" s="124" t="s">
        <v>102</v>
      </c>
      <c r="B196" s="125">
        <v>139400</v>
      </c>
      <c r="C196" s="73">
        <v>-5.1378019699999999E-2</v>
      </c>
      <c r="D196" s="15">
        <v>149400</v>
      </c>
      <c r="E196" s="32">
        <f t="shared" si="106"/>
        <v>7.1736011477761832E-2</v>
      </c>
      <c r="F196" s="18">
        <f>IF(ISNUMBER(D196), $B199 * E196, "")</f>
        <v>10760.401721664275</v>
      </c>
      <c r="G196" s="31">
        <v>144150</v>
      </c>
      <c r="H196" s="32">
        <f t="shared" si="107"/>
        <v>3.4074605451936871E-2</v>
      </c>
      <c r="I196" s="97">
        <f>IF(ISNUMBER(G196), $B199 * H196, "")</f>
        <v>5111.1908177905307</v>
      </c>
      <c r="J196" s="15">
        <v>145850</v>
      </c>
      <c r="K196" s="32">
        <f t="shared" si="108"/>
        <v>4.6269727403156387E-2</v>
      </c>
      <c r="L196" s="18">
        <f>IF(ISNUMBER(J196), $B199 * K196, "")</f>
        <v>6940.4591104734582</v>
      </c>
      <c r="M196" s="31">
        <v>144450</v>
      </c>
      <c r="N196" s="32">
        <f t="shared" si="109"/>
        <v>3.6226685796269725E-2</v>
      </c>
      <c r="O196" s="18">
        <f>IF(ISNUMBER(M196), $B199 * N196, "")</f>
        <v>5434.0028694404591</v>
      </c>
      <c r="Q196" s="275"/>
      <c r="R196" s="275"/>
      <c r="S196" s="275"/>
    </row>
    <row r="197" spans="1:19">
      <c r="A197" s="124" t="s">
        <v>188</v>
      </c>
      <c r="B197" s="125">
        <v>30080</v>
      </c>
      <c r="C197" s="73">
        <v>-7.9277624699999993E-2</v>
      </c>
      <c r="D197" s="15">
        <v>35210</v>
      </c>
      <c r="E197" s="32">
        <f t="shared" si="106"/>
        <v>0.17054521276595744</v>
      </c>
      <c r="F197" s="18">
        <f>IF(ISNUMBER(D197), $B199 * E197, "")</f>
        <v>25581.781914893614</v>
      </c>
      <c r="G197" s="31">
        <v>31870</v>
      </c>
      <c r="H197" s="32">
        <f t="shared" si="107"/>
        <v>5.9507978723404256E-2</v>
      </c>
      <c r="I197" s="97">
        <f>IF(ISNUMBER(G197), $B199 * H197, "")</f>
        <v>8926.1968085106382</v>
      </c>
      <c r="J197" s="15">
        <v>31880</v>
      </c>
      <c r="K197" s="32">
        <f t="shared" si="108"/>
        <v>5.9840425531914897E-2</v>
      </c>
      <c r="L197" s="18">
        <f>IF(ISNUMBER(J197), $B199 * K197, "")</f>
        <v>8976.0638297872338</v>
      </c>
      <c r="M197" s="31">
        <v>32780</v>
      </c>
      <c r="N197" s="32">
        <f t="shared" si="109"/>
        <v>8.9760638297872342E-2</v>
      </c>
      <c r="O197" s="18">
        <f>IF(ISNUMBER(M197), $B199 * N197, "")</f>
        <v>13464.095744680852</v>
      </c>
      <c r="Q197" s="297"/>
      <c r="R197" s="298"/>
      <c r="S197" s="299"/>
    </row>
    <row r="198" spans="1:19" ht="17.25" thickBot="1">
      <c r="A198" s="129" t="s">
        <v>242</v>
      </c>
      <c r="B198" s="130">
        <v>10390</v>
      </c>
      <c r="C198" s="75">
        <v>-0.1058519793</v>
      </c>
      <c r="D198" s="24">
        <v>10200</v>
      </c>
      <c r="E198" s="25">
        <f t="shared" si="106"/>
        <v>-1.8286814244465831E-2</v>
      </c>
      <c r="F198" s="100">
        <f>IF(ISNUMBER(D198), $B199 * E198, "")</f>
        <v>-2743.0221366698747</v>
      </c>
      <c r="G198" s="98">
        <v>10070</v>
      </c>
      <c r="H198" s="25">
        <f t="shared" si="107"/>
        <v>-3.0798845043310877E-2</v>
      </c>
      <c r="I198" s="99">
        <f>IF(ISNUMBER(G198), $B199 * H198, "")</f>
        <v>-4619.8267564966318</v>
      </c>
      <c r="J198" s="24">
        <v>9790</v>
      </c>
      <c r="K198" s="25">
        <f t="shared" si="108"/>
        <v>-5.7747834456207889E-2</v>
      </c>
      <c r="L198" s="100">
        <f>IF(ISNUMBER(J198), $B199 * K198, "")</f>
        <v>-8662.1751684311839</v>
      </c>
      <c r="M198" s="98">
        <v>9875</v>
      </c>
      <c r="N198" s="25">
        <f t="shared" si="109"/>
        <v>-4.956689124157844E-2</v>
      </c>
      <c r="O198" s="100">
        <f>IF(ISNUMBER(M198), $B199 * N198, "")</f>
        <v>-7435.0336862367658</v>
      </c>
      <c r="Q198" s="300"/>
      <c r="R198" s="301"/>
      <c r="S198" s="302"/>
    </row>
    <row r="199" spans="1:19" ht="17.25" thickBot="1">
      <c r="A199" s="131" t="s">
        <v>301</v>
      </c>
      <c r="B199" s="308">
        <f>$B$37</f>
        <v>150000</v>
      </c>
      <c r="C199" s="309"/>
      <c r="D199" s="26" t="s">
        <v>302</v>
      </c>
      <c r="E199" s="27">
        <f>IF(COUNT(E179:E198), SUM(E179:E198) / COUNT(E179:E198), 0)</f>
        <v>-1.6431417513262984E-3</v>
      </c>
      <c r="F199" s="28">
        <f>SUM(F179:F198)</f>
        <v>-4929.4252539789049</v>
      </c>
      <c r="G199" s="26" t="s">
        <v>302</v>
      </c>
      <c r="H199" s="27">
        <f>IF(COUNT(H179:H198), SUM(H179:H198) / COUNT(H179:H198), 0)</f>
        <v>-1.8037450212018209E-2</v>
      </c>
      <c r="I199" s="28">
        <f>SUM(I179:I198)</f>
        <v>-54112.350636054609</v>
      </c>
      <c r="J199" s="26" t="s">
        <v>302</v>
      </c>
      <c r="K199" s="27">
        <f>IF(COUNT(K179:K198), SUM(K179:K198) / COUNT(K179:K198), 0)</f>
        <v>-2.8700945463013567E-2</v>
      </c>
      <c r="L199" s="28">
        <f>SUM(L179:L198)</f>
        <v>-86102.83638904072</v>
      </c>
      <c r="M199" s="26" t="s">
        <v>302</v>
      </c>
      <c r="N199" s="27">
        <f>IF(COUNT(N179:N198), SUM(N179:N198) / COUNT(N179:N198), 0)</f>
        <v>-1.8023493347212784E-2</v>
      </c>
      <c r="O199" s="28">
        <f>SUM(O179:O198)</f>
        <v>-54070.480041638366</v>
      </c>
      <c r="Q199" s="303"/>
      <c r="R199" s="304"/>
      <c r="S199" s="30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25" priority="157">
      <formula>AND($N17 &gt; 0, ISNUMBER($N17))</formula>
    </cfRule>
    <cfRule type="expression" dxfId="1424" priority="158">
      <formula>AND($N17 = 0 * ISNUMBER($N17))</formula>
    </cfRule>
    <cfRule type="expression" dxfId="1423" priority="159">
      <formula>AND($N17 &lt; 0, ISNUMBER($N17))</formula>
    </cfRule>
  </conditionalFormatting>
  <conditionalFormatting sqref="A17:F36">
    <cfRule type="expression" dxfId="1422" priority="166">
      <formula>AND($E17 &gt; 0, ISNUMBER($E17))</formula>
    </cfRule>
    <cfRule type="expression" dxfId="1421" priority="167">
      <formula>AND($E17 = 0 * ISNUMBER($E17))</formula>
    </cfRule>
    <cfRule type="expression" dxfId="1420" priority="168">
      <formula>AND($E17 &lt; 0, ISNUMBER($E17))</formula>
    </cfRule>
  </conditionalFormatting>
  <conditionalFormatting sqref="A17:C36 G17:I36">
    <cfRule type="expression" dxfId="1419" priority="163">
      <formula>AND($H17 &gt; 0, ISNUMBER($H17))</formula>
    </cfRule>
    <cfRule type="expression" dxfId="1418" priority="164">
      <formula>AND($H17 = 0 * ISNUMBER($H17))</formula>
    </cfRule>
    <cfRule type="expression" dxfId="1417" priority="165">
      <formula>AND($H17 &lt; 0, ISNUMBER($H17))</formula>
    </cfRule>
  </conditionalFormatting>
  <conditionalFormatting sqref="A17:C36 J17:L36">
    <cfRule type="expression" dxfId="1416" priority="160">
      <formula>AND($K17 &gt; 0, ISNUMBER($K17))</formula>
    </cfRule>
    <cfRule type="expression" dxfId="1415" priority="161">
      <formula>AND($K17 = 0 * ISNUMBER($K17))</formula>
    </cfRule>
    <cfRule type="expression" dxfId="1414" priority="162">
      <formula>AND($K17 &lt; 0, ISNUMBER($K17))</formula>
    </cfRule>
  </conditionalFormatting>
  <conditionalFormatting sqref="D15:F16 E37:F37">
    <cfRule type="expression" dxfId="1413" priority="154">
      <formula>$E$37 &gt; 0</formula>
    </cfRule>
    <cfRule type="expression" dxfId="1412" priority="155">
      <formula>$E$37 = 0</formula>
    </cfRule>
    <cfRule type="expression" dxfId="1411" priority="156">
      <formula>$E$37 &lt; 0</formula>
    </cfRule>
  </conditionalFormatting>
  <conditionalFormatting sqref="G15:I16 H37:I37">
    <cfRule type="expression" dxfId="1410" priority="151">
      <formula>$H$37 &gt; 0</formula>
    </cfRule>
    <cfRule type="expression" dxfId="1409" priority="152">
      <formula>$H$37 = 0</formula>
    </cfRule>
    <cfRule type="expression" dxfId="1408" priority="153">
      <formula>$H$37 &lt; 0</formula>
    </cfRule>
  </conditionalFormatting>
  <conditionalFormatting sqref="J15:L16 K37:L37">
    <cfRule type="expression" dxfId="1407" priority="148">
      <formula>$K$37 &gt; 0</formula>
    </cfRule>
    <cfRule type="expression" dxfId="1406" priority="149">
      <formula>$K$37 = 0</formula>
    </cfRule>
    <cfRule type="expression" dxfId="1405" priority="150">
      <formula>$K$37 &lt; 0</formula>
    </cfRule>
  </conditionalFormatting>
  <conditionalFormatting sqref="M15:O16 N37:O37">
    <cfRule type="expression" dxfId="1404" priority="145">
      <formula>$N$37 &gt; 0</formula>
    </cfRule>
    <cfRule type="expression" dxfId="1403" priority="146">
      <formula>$N$37 = 0</formula>
    </cfRule>
    <cfRule type="expression" dxfId="1402" priority="147">
      <formula>$N$37 &lt; 0</formula>
    </cfRule>
  </conditionalFormatting>
  <conditionalFormatting sqref="A44:C63 M44:O63">
    <cfRule type="expression" dxfId="1401" priority="133">
      <formula>AND($N44 &gt; 0, ISNUMBER($N44))</formula>
    </cfRule>
    <cfRule type="expression" dxfId="1400" priority="134">
      <formula>AND($N44 = 0 * ISNUMBER($N44))</formula>
    </cfRule>
    <cfRule type="expression" dxfId="1399" priority="135">
      <formula>AND($N44 &lt; 0, ISNUMBER($N44))</formula>
    </cfRule>
  </conditionalFormatting>
  <conditionalFormatting sqref="A44:F63">
    <cfRule type="expression" dxfId="1398" priority="142">
      <formula>AND($E44 &gt; 0, ISNUMBER($E44))</formula>
    </cfRule>
    <cfRule type="expression" dxfId="1397" priority="143">
      <formula>AND($E44 = 0 * ISNUMBER($E44))</formula>
    </cfRule>
    <cfRule type="expression" dxfId="1396" priority="144">
      <formula>AND($E44 &lt; 0, ISNUMBER($E44))</formula>
    </cfRule>
  </conditionalFormatting>
  <conditionalFormatting sqref="A44:C63 G44:I63">
    <cfRule type="expression" dxfId="1395" priority="139">
      <formula>AND($H44 &gt; 0, ISNUMBER($H44))</formula>
    </cfRule>
    <cfRule type="expression" dxfId="1394" priority="140">
      <formula>AND($H44 = 0 * ISNUMBER($H44))</formula>
    </cfRule>
    <cfRule type="expression" dxfId="1393" priority="141">
      <formula>AND($H44 &lt; 0, ISNUMBER($H44))</formula>
    </cfRule>
  </conditionalFormatting>
  <conditionalFormatting sqref="A44:C63 J44:L63">
    <cfRule type="expression" dxfId="1392" priority="136">
      <formula>AND($K44 &gt; 0, ISNUMBER($K44))</formula>
    </cfRule>
    <cfRule type="expression" dxfId="1391" priority="137">
      <formula>AND($K44 = 0 * ISNUMBER($K44))</formula>
    </cfRule>
    <cfRule type="expression" dxfId="1390" priority="138">
      <formula>AND($K44 &lt; 0, ISNUMBER($K44))</formula>
    </cfRule>
  </conditionalFormatting>
  <conditionalFormatting sqref="D42:F43 E64:F64">
    <cfRule type="expression" dxfId="1389" priority="130">
      <formula>$E$64 &gt; 0</formula>
    </cfRule>
    <cfRule type="expression" dxfId="1388" priority="131">
      <formula>$E$64 = 0</formula>
    </cfRule>
    <cfRule type="expression" dxfId="1387" priority="132">
      <formula>$E$64 &lt; 0</formula>
    </cfRule>
  </conditionalFormatting>
  <conditionalFormatting sqref="G42:I43 H64:I64">
    <cfRule type="expression" dxfId="1386" priority="127">
      <formula>$H$64 &gt; 0</formula>
    </cfRule>
    <cfRule type="expression" dxfId="1385" priority="128">
      <formula>$H$64 = 0</formula>
    </cfRule>
    <cfRule type="expression" dxfId="1384" priority="129">
      <formula>$H$64 &lt; 0</formula>
    </cfRule>
  </conditionalFormatting>
  <conditionalFormatting sqref="J42:L43 K64:L64">
    <cfRule type="expression" dxfId="1383" priority="124">
      <formula>$K$64 &gt; 0</formula>
    </cfRule>
    <cfRule type="expression" dxfId="1382" priority="125">
      <formula>$K$64 = 0</formula>
    </cfRule>
    <cfRule type="expression" dxfId="1381" priority="126">
      <formula>$K$64 &lt; 0</formula>
    </cfRule>
  </conditionalFormatting>
  <conditionalFormatting sqref="M42:O43 N64:O64">
    <cfRule type="expression" dxfId="1380" priority="121">
      <formula>$N$64 &gt; 0</formula>
    </cfRule>
    <cfRule type="expression" dxfId="1379" priority="122">
      <formula>$N$64 = 0</formula>
    </cfRule>
    <cfRule type="expression" dxfId="1378" priority="123">
      <formula>$N$64 &lt; 0</formula>
    </cfRule>
  </conditionalFormatting>
  <conditionalFormatting sqref="A71:C90 M71:O90">
    <cfRule type="expression" dxfId="1377" priority="109">
      <formula>AND($N71 &gt; 0, ISNUMBER($N71))</formula>
    </cfRule>
    <cfRule type="expression" dxfId="1376" priority="110">
      <formula>AND($N71 = 0 * ISNUMBER($N71))</formula>
    </cfRule>
    <cfRule type="expression" dxfId="1375" priority="111">
      <formula>AND($N71 &lt; 0, ISNUMBER($N71))</formula>
    </cfRule>
  </conditionalFormatting>
  <conditionalFormatting sqref="A71:F90">
    <cfRule type="expression" dxfId="1374" priority="118">
      <formula>AND($E71 &gt; 0, ISNUMBER($E71))</formula>
    </cfRule>
    <cfRule type="expression" dxfId="1373" priority="119">
      <formula>AND($E71 = 0 * ISNUMBER($E71))</formula>
    </cfRule>
    <cfRule type="expression" dxfId="1372" priority="120">
      <formula>AND($E71 &lt; 0, ISNUMBER($E71))</formula>
    </cfRule>
  </conditionalFormatting>
  <conditionalFormatting sqref="A71:C90 G71:I90">
    <cfRule type="expression" dxfId="1371" priority="115">
      <formula>AND($H71 &gt; 0, ISNUMBER($H71))</formula>
    </cfRule>
    <cfRule type="expression" dxfId="1370" priority="116">
      <formula>AND($H71 = 0 * ISNUMBER($H71))</formula>
    </cfRule>
    <cfRule type="expression" dxfId="1369" priority="117">
      <formula>AND($H71 &lt; 0, ISNUMBER($H71))</formula>
    </cfRule>
  </conditionalFormatting>
  <conditionalFormatting sqref="A71:C90 J71:L90">
    <cfRule type="expression" dxfId="1368" priority="112">
      <formula>AND($K71 &gt; 0, ISNUMBER($K71))</formula>
    </cfRule>
    <cfRule type="expression" dxfId="1367" priority="113">
      <formula>AND($K71 = 0 * ISNUMBER($K71))</formula>
    </cfRule>
    <cfRule type="expression" dxfId="1366" priority="114">
      <formula>AND($K71 &lt; 0, ISNUMBER($K71))</formula>
    </cfRule>
  </conditionalFormatting>
  <conditionalFormatting sqref="D69:F70 E91:F91">
    <cfRule type="expression" dxfId="1365" priority="106">
      <formula>$E$91 &gt; 0</formula>
    </cfRule>
    <cfRule type="expression" dxfId="1364" priority="107">
      <formula>$E$91 = 0</formula>
    </cfRule>
    <cfRule type="expression" dxfId="1363" priority="108">
      <formula>$E$91 &lt; 0</formula>
    </cfRule>
  </conditionalFormatting>
  <conditionalFormatting sqref="G69:I70 H91:I91">
    <cfRule type="expression" dxfId="1362" priority="103">
      <formula>$H$91 &gt; 0</formula>
    </cfRule>
    <cfRule type="expression" dxfId="1361" priority="104">
      <formula>$H$91 = 0</formula>
    </cfRule>
    <cfRule type="expression" dxfId="1360" priority="105">
      <formula>$H$91 &lt; 0</formula>
    </cfRule>
  </conditionalFormatting>
  <conditionalFormatting sqref="J69:L70 K91:L91">
    <cfRule type="expression" dxfId="1359" priority="100">
      <formula>$K$91 &gt; 0</formula>
    </cfRule>
    <cfRule type="expression" dxfId="1358" priority="101">
      <formula>$K$91 = 0</formula>
    </cfRule>
    <cfRule type="expression" dxfId="1357" priority="102">
      <formula>$K$91 &lt; 0</formula>
    </cfRule>
  </conditionalFormatting>
  <conditionalFormatting sqref="M69:O70 N91:O91">
    <cfRule type="expression" dxfId="1356" priority="97">
      <formula>$N$91 &gt; 0</formula>
    </cfRule>
    <cfRule type="expression" dxfId="1355" priority="98">
      <formula>$N$91 = 0</formula>
    </cfRule>
    <cfRule type="expression" dxfId="1354" priority="99">
      <formula>$N$91 &lt; 0</formula>
    </cfRule>
  </conditionalFormatting>
  <conditionalFormatting sqref="A98:C117 M98:O117">
    <cfRule type="expression" dxfId="1353" priority="85">
      <formula>AND($N98 &gt; 0, ISNUMBER($N98))</formula>
    </cfRule>
    <cfRule type="expression" dxfId="1352" priority="86">
      <formula>AND($N98 = 0 * ISNUMBER($N98))</formula>
    </cfRule>
    <cfRule type="expression" dxfId="1351" priority="87">
      <formula>AND($N98 &lt; 0, ISNUMBER($N98))</formula>
    </cfRule>
  </conditionalFormatting>
  <conditionalFormatting sqref="A98:F117">
    <cfRule type="expression" dxfId="1350" priority="94">
      <formula>AND($E98 &gt; 0, ISNUMBER($E98))</formula>
    </cfRule>
    <cfRule type="expression" dxfId="1349" priority="95">
      <formula>AND($E98 = 0 * ISNUMBER($E98))</formula>
    </cfRule>
    <cfRule type="expression" dxfId="1348" priority="96">
      <formula>AND($E98 &lt; 0, ISNUMBER($E98))</formula>
    </cfRule>
  </conditionalFormatting>
  <conditionalFormatting sqref="A98:C117 G98:I117">
    <cfRule type="expression" dxfId="1347" priority="91">
      <formula>AND($H98 &gt; 0, ISNUMBER($H98))</formula>
    </cfRule>
    <cfRule type="expression" dxfId="1346" priority="92">
      <formula>AND($H98 = 0 * ISNUMBER($H98))</formula>
    </cfRule>
    <cfRule type="expression" dxfId="1345" priority="93">
      <formula>AND($H98 &lt; 0, ISNUMBER($H98))</formula>
    </cfRule>
  </conditionalFormatting>
  <conditionalFormatting sqref="A98:C117 J98:L117">
    <cfRule type="expression" dxfId="1344" priority="88">
      <formula>AND($K98 &gt; 0, ISNUMBER($K98))</formula>
    </cfRule>
    <cfRule type="expression" dxfId="1343" priority="89">
      <formula>AND($K98 = 0 * ISNUMBER($K98))</formula>
    </cfRule>
    <cfRule type="expression" dxfId="1342" priority="90">
      <formula>AND($K98 &lt; 0, ISNUMBER($K98))</formula>
    </cfRule>
  </conditionalFormatting>
  <conditionalFormatting sqref="D96:F97 E118:F118">
    <cfRule type="expression" dxfId="1341" priority="82">
      <formula>$E$118 &gt; 0</formula>
    </cfRule>
    <cfRule type="expression" dxfId="1340" priority="83">
      <formula>$E$118 = 0</formula>
    </cfRule>
    <cfRule type="expression" dxfId="1339" priority="84">
      <formula>$E$118 &lt; 0</formula>
    </cfRule>
  </conditionalFormatting>
  <conditionalFormatting sqref="G96:I97 H118:I118">
    <cfRule type="expression" dxfId="1338" priority="79">
      <formula>$H$118 &gt; 0</formula>
    </cfRule>
    <cfRule type="expression" dxfId="1337" priority="80">
      <formula>$H$118 = 0</formula>
    </cfRule>
    <cfRule type="expression" dxfId="1336" priority="81">
      <formula>$H$118 &lt; 0</formula>
    </cfRule>
  </conditionalFormatting>
  <conditionalFormatting sqref="J96:L97 K118:L118">
    <cfRule type="expression" dxfId="1335" priority="76">
      <formula>$K$118 &gt; 0</formula>
    </cfRule>
    <cfRule type="expression" dxfId="1334" priority="77">
      <formula>$K$118 = 0</formula>
    </cfRule>
    <cfRule type="expression" dxfId="1333" priority="78">
      <formula>$K$118 &lt; 0</formula>
    </cfRule>
  </conditionalFormatting>
  <conditionalFormatting sqref="M96:O97 N118:O118">
    <cfRule type="expression" dxfId="1332" priority="73">
      <formula>$N$118 &gt; 0</formula>
    </cfRule>
    <cfRule type="expression" dxfId="1331" priority="74">
      <formula>$N$118 = 0</formula>
    </cfRule>
    <cfRule type="expression" dxfId="1330" priority="75">
      <formula>$N$118 &lt; 0</formula>
    </cfRule>
  </conditionalFormatting>
  <conditionalFormatting sqref="A125:C144 M125:O144">
    <cfRule type="expression" dxfId="1329" priority="61">
      <formula>AND($N125 &gt; 0, ISNUMBER($N125))</formula>
    </cfRule>
    <cfRule type="expression" dxfId="1328" priority="62">
      <formula>AND($N125 = 0 * ISNUMBER($N125))</formula>
    </cfRule>
    <cfRule type="expression" dxfId="1327" priority="63">
      <formula>AND($N125 &lt; 0, ISNUMBER($N125))</formula>
    </cfRule>
  </conditionalFormatting>
  <conditionalFormatting sqref="A125:F144">
    <cfRule type="expression" dxfId="1326" priority="70">
      <formula>AND($E125 &gt; 0, ISNUMBER($E125))</formula>
    </cfRule>
    <cfRule type="expression" dxfId="1325" priority="71">
      <formula>AND($E125 = 0 * ISNUMBER($E125))</formula>
    </cfRule>
    <cfRule type="expression" dxfId="1324" priority="72">
      <formula>AND($E125 &lt; 0, ISNUMBER($E125))</formula>
    </cfRule>
  </conditionalFormatting>
  <conditionalFormatting sqref="A125:C144 G125:I144">
    <cfRule type="expression" dxfId="1323" priority="67">
      <formula>AND($H125 &gt; 0, ISNUMBER($H125))</formula>
    </cfRule>
    <cfRule type="expression" dxfId="1322" priority="68">
      <formula>AND($H125 = 0 * ISNUMBER($H125))</formula>
    </cfRule>
    <cfRule type="expression" dxfId="1321" priority="69">
      <formula>AND($H125 &lt; 0, ISNUMBER($H125))</formula>
    </cfRule>
  </conditionalFormatting>
  <conditionalFormatting sqref="A125:C144 J125:L144">
    <cfRule type="expression" dxfId="1320" priority="64">
      <formula>AND($K125 &gt; 0, ISNUMBER($K125))</formula>
    </cfRule>
    <cfRule type="expression" dxfId="1319" priority="65">
      <formula>AND($K125 = 0 * ISNUMBER($K125))</formula>
    </cfRule>
    <cfRule type="expression" dxfId="1318" priority="66">
      <formula>AND($K125 &lt; 0, ISNUMBER($K125))</formula>
    </cfRule>
  </conditionalFormatting>
  <conditionalFormatting sqref="D123:F124 E145:F145">
    <cfRule type="expression" dxfId="1317" priority="58">
      <formula>$E$145 &gt; 0</formula>
    </cfRule>
    <cfRule type="expression" dxfId="1316" priority="59">
      <formula>$E$145 = 0</formula>
    </cfRule>
    <cfRule type="expression" dxfId="1315" priority="60">
      <formula>$E$145 &lt; 0</formula>
    </cfRule>
  </conditionalFormatting>
  <conditionalFormatting sqref="G123:I124 H145:I145">
    <cfRule type="expression" dxfId="1314" priority="55">
      <formula>$H$145 &gt; 0</formula>
    </cfRule>
    <cfRule type="expression" dxfId="1313" priority="56">
      <formula>$H$145 = 0</formula>
    </cfRule>
    <cfRule type="expression" dxfId="1312" priority="57">
      <formula>$H$145 &lt; 0</formula>
    </cfRule>
  </conditionalFormatting>
  <conditionalFormatting sqref="J123:L124 K145:L145">
    <cfRule type="expression" dxfId="1311" priority="52">
      <formula>$K$145 &gt; 0</formula>
    </cfRule>
    <cfRule type="expression" dxfId="1310" priority="53">
      <formula>$K$145 = 0</formula>
    </cfRule>
    <cfRule type="expression" dxfId="1309" priority="54">
      <formula>$K$145 &lt; 0</formula>
    </cfRule>
  </conditionalFormatting>
  <conditionalFormatting sqref="M123:O124 N145:O145">
    <cfRule type="expression" dxfId="1308" priority="49">
      <formula>$N$145 &gt; 0</formula>
    </cfRule>
    <cfRule type="expression" dxfId="1307" priority="50">
      <formula>$N$145 = 0</formula>
    </cfRule>
    <cfRule type="expression" dxfId="1306" priority="51">
      <formula>$N$145 &lt; 0</formula>
    </cfRule>
  </conditionalFormatting>
  <conditionalFormatting sqref="A152:C171 M152:O171">
    <cfRule type="expression" dxfId="1305" priority="37">
      <formula>AND($N152 &gt; 0, ISNUMBER($N152))</formula>
    </cfRule>
    <cfRule type="expression" dxfId="1304" priority="38">
      <formula>AND($N152 = 0 * ISNUMBER($N152))</formula>
    </cfRule>
    <cfRule type="expression" dxfId="1303" priority="39">
      <formula>AND($N152 &lt; 0, ISNUMBER($N152))</formula>
    </cfRule>
  </conditionalFormatting>
  <conditionalFormatting sqref="A152:F171">
    <cfRule type="expression" dxfId="1302" priority="46">
      <formula>AND($E152 &gt; 0, ISNUMBER($E152))</formula>
    </cfRule>
    <cfRule type="expression" dxfId="1301" priority="47">
      <formula>AND($E152 = 0 * ISNUMBER($E152))</formula>
    </cfRule>
    <cfRule type="expression" dxfId="1300" priority="48">
      <formula>AND($E152 &lt; 0, ISNUMBER($E152))</formula>
    </cfRule>
  </conditionalFormatting>
  <conditionalFormatting sqref="A152:C171 G152:I171">
    <cfRule type="expression" dxfId="1299" priority="43">
      <formula>AND($H152 &gt; 0, ISNUMBER($H152))</formula>
    </cfRule>
    <cfRule type="expression" dxfId="1298" priority="44">
      <formula>AND($H152 = 0 * ISNUMBER($H152))</formula>
    </cfRule>
    <cfRule type="expression" dxfId="1297" priority="45">
      <formula>AND($H152 &lt; 0, ISNUMBER($H152))</formula>
    </cfRule>
  </conditionalFormatting>
  <conditionalFormatting sqref="A152:C171 J152:L171">
    <cfRule type="expression" dxfId="1296" priority="40">
      <formula>AND($K152 &gt; 0, ISNUMBER($K152))</formula>
    </cfRule>
    <cfRule type="expression" dxfId="1295" priority="41">
      <formula>AND($K152 = 0 * ISNUMBER($K152))</formula>
    </cfRule>
    <cfRule type="expression" dxfId="1294" priority="42">
      <formula>AND($K152 &lt; 0, ISNUMBER($K152))</formula>
    </cfRule>
  </conditionalFormatting>
  <conditionalFormatting sqref="D150:F151 E172:F172">
    <cfRule type="expression" dxfId="1293" priority="34">
      <formula>$E$172 &gt; 0</formula>
    </cfRule>
    <cfRule type="expression" dxfId="1292" priority="35">
      <formula>$E$172 = 0</formula>
    </cfRule>
    <cfRule type="expression" dxfId="1291" priority="36">
      <formula>$E$172 &lt; 0</formula>
    </cfRule>
  </conditionalFormatting>
  <conditionalFormatting sqref="G150:I151 H172:I172">
    <cfRule type="expression" dxfId="1290" priority="31">
      <formula>$H$172 &gt; 0</formula>
    </cfRule>
    <cfRule type="expression" dxfId="1289" priority="32">
      <formula>$H$172 = 0</formula>
    </cfRule>
    <cfRule type="expression" dxfId="1288" priority="33">
      <formula>$H$172 &lt; 0</formula>
    </cfRule>
  </conditionalFormatting>
  <conditionalFormatting sqref="J150:L151 K172:L172">
    <cfRule type="expression" dxfId="1287" priority="28">
      <formula>$K$172 &gt; 0</formula>
    </cfRule>
    <cfRule type="expression" dxfId="1286" priority="29">
      <formula>$K$172 = 0</formula>
    </cfRule>
    <cfRule type="expression" dxfId="1285" priority="30">
      <formula>$K$172 &lt; 0</formula>
    </cfRule>
  </conditionalFormatting>
  <conditionalFormatting sqref="M150:O151 N172:O172">
    <cfRule type="expression" dxfId="1284" priority="25">
      <formula>$N$172 &gt; 0</formula>
    </cfRule>
    <cfRule type="expression" dxfId="1283" priority="26">
      <formula>$N$172 = 0</formula>
    </cfRule>
    <cfRule type="expression" dxfId="1282" priority="27">
      <formula>$N$172 &lt; 0</formula>
    </cfRule>
  </conditionalFormatting>
  <conditionalFormatting sqref="A179:C198 M179:O198">
    <cfRule type="expression" dxfId="1281" priority="13">
      <formula>AND($N179 &gt; 0, ISNUMBER($N179))</formula>
    </cfRule>
    <cfRule type="expression" dxfId="1280" priority="14">
      <formula>AND($N179 = 0 * ISNUMBER($N179))</formula>
    </cfRule>
    <cfRule type="expression" dxfId="1279" priority="15">
      <formula>AND($N179 &lt; 0, ISNUMBER($N179))</formula>
    </cfRule>
  </conditionalFormatting>
  <conditionalFormatting sqref="A179:F198">
    <cfRule type="expression" dxfId="1278" priority="22">
      <formula>AND($E179 &gt; 0, ISNUMBER($E179))</formula>
    </cfRule>
    <cfRule type="expression" dxfId="1277" priority="23">
      <formula>AND($E179 = 0 * ISNUMBER($E179))</formula>
    </cfRule>
    <cfRule type="expression" dxfId="1276" priority="24">
      <formula>AND($E179 &lt; 0, ISNUMBER($E179))</formula>
    </cfRule>
  </conditionalFormatting>
  <conditionalFormatting sqref="A179:C198 G179:I198">
    <cfRule type="expression" dxfId="1275" priority="19">
      <formula>AND($H179 &gt; 0, ISNUMBER($H179))</formula>
    </cfRule>
    <cfRule type="expression" dxfId="1274" priority="20">
      <formula>AND($H179 = 0 * ISNUMBER($H179))</formula>
    </cfRule>
    <cfRule type="expression" dxfId="1273" priority="21">
      <formula>AND($H179 &lt; 0, ISNUMBER($H179))</formula>
    </cfRule>
  </conditionalFormatting>
  <conditionalFormatting sqref="A179:C198 J179:L198">
    <cfRule type="expression" dxfId="1272" priority="16">
      <formula>AND($K179 &gt; 0, ISNUMBER($K179))</formula>
    </cfRule>
    <cfRule type="expression" dxfId="1271" priority="17">
      <formula>AND($K179 = 0 * ISNUMBER($K179))</formula>
    </cfRule>
    <cfRule type="expression" dxfId="1270" priority="18">
      <formula>AND($K179 &lt; 0, ISNUMBER($K179))</formula>
    </cfRule>
  </conditionalFormatting>
  <conditionalFormatting sqref="D177:F178 E199:F199">
    <cfRule type="expression" dxfId="1269" priority="10">
      <formula>$E$199 &gt; 0</formula>
    </cfRule>
    <cfRule type="expression" dxfId="1268" priority="11">
      <formula>$E$199 = 0</formula>
    </cfRule>
    <cfRule type="expression" dxfId="1267" priority="12">
      <formula>$E$199 &lt; 0</formula>
    </cfRule>
  </conditionalFormatting>
  <conditionalFormatting sqref="G177:I178 H199:I199">
    <cfRule type="expression" dxfId="1266" priority="7">
      <formula>$H$199 &gt; 0</formula>
    </cfRule>
    <cfRule type="expression" dxfId="1265" priority="8">
      <formula>$H$199 = 0</formula>
    </cfRule>
    <cfRule type="expression" dxfId="1264" priority="9">
      <formula>$H$199 &lt; 0</formula>
    </cfRule>
  </conditionalFormatting>
  <conditionalFormatting sqref="J177:L178 K199:L199">
    <cfRule type="expression" dxfId="1263" priority="4">
      <formula>$K$199 &gt; 0</formula>
    </cfRule>
    <cfRule type="expression" dxfId="1262" priority="5">
      <formula>$K$199 = 0</formula>
    </cfRule>
    <cfRule type="expression" dxfId="1261" priority="6">
      <formula>$K$199 &lt; 0</formula>
    </cfRule>
  </conditionalFormatting>
  <conditionalFormatting sqref="M177:O178 N199:O199">
    <cfRule type="expression" dxfId="1260" priority="1">
      <formula>$N$199 &gt; 0</formula>
    </cfRule>
    <cfRule type="expression" dxfId="1259" priority="2">
      <formula>$N$199 = 0</formula>
    </cfRule>
    <cfRule type="expression" dxfId="12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57C88-2D34-46CF-8193-F4C6780F5B7C}">
  <sheetPr codeName="Sheet16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9" t="s">
        <v>0</v>
      </c>
      <c r="B1" s="250"/>
      <c r="C1" s="250"/>
      <c r="D1" s="250"/>
      <c r="E1" s="250"/>
      <c r="F1" s="251"/>
      <c r="G1" s="252">
        <v>44326</v>
      </c>
      <c r="H1" s="253"/>
      <c r="I1" s="254"/>
      <c r="J1" s="249" t="s">
        <v>1</v>
      </c>
      <c r="K1" s="250"/>
      <c r="L1" s="250"/>
      <c r="M1" s="250"/>
      <c r="N1" s="250"/>
      <c r="O1" s="251"/>
      <c r="Q1" s="249" t="s">
        <v>2</v>
      </c>
      <c r="R1" s="251"/>
    </row>
    <row r="2" spans="1:19" ht="17.25" customHeight="1">
      <c r="A2" s="116" t="s">
        <v>3</v>
      </c>
      <c r="B2" s="255" t="s">
        <v>8</v>
      </c>
      <c r="C2" s="256"/>
      <c r="D2" s="256"/>
      <c r="E2" s="256"/>
      <c r="F2" s="257"/>
      <c r="G2" s="258" t="s">
        <v>46</v>
      </c>
      <c r="H2" s="259"/>
      <c r="I2" s="260"/>
      <c r="J2" s="1" t="s">
        <v>3</v>
      </c>
      <c r="K2" s="255" t="s">
        <v>376</v>
      </c>
      <c r="L2" s="256"/>
      <c r="M2" s="256"/>
      <c r="N2" s="256"/>
      <c r="O2" s="257"/>
      <c r="Q2" s="2" t="s">
        <v>6</v>
      </c>
      <c r="R2" s="3">
        <v>0.375</v>
      </c>
    </row>
    <row r="3" spans="1:19" ht="17.25" customHeight="1" thickBot="1">
      <c r="A3" s="117" t="s">
        <v>7</v>
      </c>
      <c r="B3" s="261" t="s">
        <v>384</v>
      </c>
      <c r="C3" s="262"/>
      <c r="D3" s="262"/>
      <c r="E3" s="262"/>
      <c r="F3" s="263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10,097 KRW (0.34%)</v>
      </c>
      <c r="H3" s="265"/>
      <c r="I3" s="266"/>
      <c r="J3" s="4" t="s">
        <v>7</v>
      </c>
      <c r="K3" s="261" t="s">
        <v>377</v>
      </c>
      <c r="L3" s="262"/>
      <c r="M3" s="262"/>
      <c r="N3" s="262"/>
      <c r="O3" s="263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61" t="s">
        <v>16</v>
      </c>
      <c r="C4" s="262"/>
      <c r="D4" s="262"/>
      <c r="E4" s="262"/>
      <c r="F4" s="263"/>
      <c r="G4" s="258" t="s">
        <v>44</v>
      </c>
      <c r="H4" s="259"/>
      <c r="I4" s="260"/>
      <c r="J4" s="4" t="s">
        <v>11</v>
      </c>
      <c r="K4" s="261" t="s">
        <v>378</v>
      </c>
      <c r="L4" s="262"/>
      <c r="M4" s="262"/>
      <c r="N4" s="262"/>
      <c r="O4" s="263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61" t="s">
        <v>374</v>
      </c>
      <c r="C5" s="262"/>
      <c r="D5" s="262"/>
      <c r="E5" s="262"/>
      <c r="F5" s="263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-200 KRW (-0.01%)</v>
      </c>
      <c r="H5" s="265"/>
      <c r="I5" s="266"/>
      <c r="J5" s="4" t="s">
        <v>15</v>
      </c>
      <c r="K5" s="261" t="s">
        <v>379</v>
      </c>
      <c r="L5" s="262"/>
      <c r="M5" s="262"/>
      <c r="N5" s="262"/>
      <c r="O5" s="263"/>
    </row>
    <row r="6" spans="1:19">
      <c r="A6" s="117" t="s">
        <v>18</v>
      </c>
      <c r="B6" s="261"/>
      <c r="C6" s="262"/>
      <c r="D6" s="262"/>
      <c r="E6" s="262"/>
      <c r="F6" s="263"/>
      <c r="G6" s="258" t="s">
        <v>45</v>
      </c>
      <c r="H6" s="259"/>
      <c r="I6" s="260"/>
      <c r="J6" s="4" t="s">
        <v>18</v>
      </c>
      <c r="K6" s="261" t="s">
        <v>380</v>
      </c>
      <c r="L6" s="262"/>
      <c r="M6" s="262"/>
      <c r="N6" s="262"/>
      <c r="O6" s="263"/>
    </row>
    <row r="7" spans="1:19" ht="17.25" thickBot="1">
      <c r="A7" s="117" t="s">
        <v>21</v>
      </c>
      <c r="B7" s="261"/>
      <c r="C7" s="262"/>
      <c r="D7" s="262"/>
      <c r="E7" s="262"/>
      <c r="F7" s="263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22,160 KRW (0.74%)</v>
      </c>
      <c r="H7" s="265"/>
      <c r="I7" s="266"/>
      <c r="J7" s="4" t="s">
        <v>21</v>
      </c>
      <c r="K7" s="261" t="s">
        <v>381</v>
      </c>
      <c r="L7" s="262"/>
      <c r="M7" s="262"/>
      <c r="N7" s="262"/>
      <c r="O7" s="263"/>
    </row>
    <row r="8" spans="1:19" ht="17.25" thickBot="1">
      <c r="A8" s="117" t="s">
        <v>24</v>
      </c>
      <c r="B8" s="261"/>
      <c r="C8" s="262"/>
      <c r="D8" s="262"/>
      <c r="E8" s="262"/>
      <c r="F8" s="263"/>
      <c r="G8" s="258" t="s">
        <v>285</v>
      </c>
      <c r="H8" s="259"/>
      <c r="I8" s="260"/>
      <c r="J8" s="4" t="s">
        <v>24</v>
      </c>
      <c r="K8" s="261"/>
      <c r="L8" s="262"/>
      <c r="M8" s="262"/>
      <c r="N8" s="262"/>
      <c r="O8" s="263"/>
      <c r="Q8" s="249" t="s">
        <v>27</v>
      </c>
      <c r="R8" s="251"/>
    </row>
    <row r="9" spans="1:19" ht="17.25" thickBot="1">
      <c r="A9" s="117" t="s">
        <v>28</v>
      </c>
      <c r="B9" s="261"/>
      <c r="C9" s="262"/>
      <c r="D9" s="262"/>
      <c r="E9" s="262"/>
      <c r="F9" s="263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17,181 KRW (0.57%)</v>
      </c>
      <c r="H9" s="265"/>
      <c r="I9" s="266"/>
      <c r="J9" s="4" t="s">
        <v>28</v>
      </c>
      <c r="K9" s="261"/>
      <c r="L9" s="262"/>
      <c r="M9" s="262"/>
      <c r="N9" s="262"/>
      <c r="O9" s="263"/>
      <c r="Q9" s="2" t="s">
        <v>29</v>
      </c>
      <c r="R9" s="6">
        <v>10</v>
      </c>
    </row>
    <row r="10" spans="1:19">
      <c r="A10" s="117" t="s">
        <v>30</v>
      </c>
      <c r="B10" s="261"/>
      <c r="C10" s="262"/>
      <c r="D10" s="262"/>
      <c r="E10" s="262"/>
      <c r="F10" s="263"/>
      <c r="G10" s="258" t="s">
        <v>47</v>
      </c>
      <c r="H10" s="259"/>
      <c r="I10" s="260"/>
      <c r="J10" s="4" t="s">
        <v>30</v>
      </c>
      <c r="K10" s="261" t="s">
        <v>382</v>
      </c>
      <c r="L10" s="262"/>
      <c r="M10" s="262"/>
      <c r="N10" s="262"/>
      <c r="O10" s="263"/>
      <c r="Q10" s="2" t="s">
        <v>31</v>
      </c>
      <c r="R10" s="6">
        <v>100</v>
      </c>
    </row>
    <row r="11" spans="1:19" ht="17.25" thickBot="1">
      <c r="A11" s="118" t="s">
        <v>32</v>
      </c>
      <c r="B11" s="267" t="s">
        <v>383</v>
      </c>
      <c r="C11" s="268"/>
      <c r="D11" s="268"/>
      <c r="E11" s="268"/>
      <c r="F11" s="269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22,160 KRW (0.74%)</v>
      </c>
      <c r="H11" s="265"/>
      <c r="I11" s="266"/>
      <c r="J11" s="7" t="s">
        <v>32</v>
      </c>
      <c r="K11" s="267" t="s">
        <v>373</v>
      </c>
      <c r="L11" s="268"/>
      <c r="M11" s="268"/>
      <c r="N11" s="268"/>
      <c r="O11" s="269"/>
      <c r="Q11" s="61" t="s">
        <v>33</v>
      </c>
      <c r="R11" s="8">
        <v>1000</v>
      </c>
    </row>
    <row r="12" spans="1:19" ht="17.25" thickBot="1"/>
    <row r="13" spans="1:19" ht="17.25" customHeight="1" thickBot="1">
      <c r="A13" s="249" t="s">
        <v>34</v>
      </c>
      <c r="B13" s="250"/>
      <c r="C13" s="250"/>
      <c r="D13" s="250"/>
      <c r="E13" s="250"/>
      <c r="F13" s="250"/>
      <c r="G13" s="250"/>
      <c r="H13" s="250"/>
      <c r="I13" s="250"/>
      <c r="J13" s="250"/>
      <c r="K13" s="250"/>
      <c r="L13" s="250"/>
      <c r="M13" s="250"/>
      <c r="N13" s="250"/>
      <c r="O13" s="251"/>
      <c r="Q13" s="270"/>
      <c r="R13" s="270"/>
      <c r="S13" s="270"/>
    </row>
    <row r="14" spans="1:19" ht="17.25" customHeight="1" thickBot="1">
      <c r="A14" s="179" t="s">
        <v>35</v>
      </c>
      <c r="B14" s="249" t="s">
        <v>36</v>
      </c>
      <c r="C14" s="251"/>
      <c r="D14" s="249" t="s">
        <v>37</v>
      </c>
      <c r="E14" s="250"/>
      <c r="F14" s="251"/>
      <c r="G14" s="276">
        <f>_xlfn.IFNA(VLOOKUP(B14, 현재가테이블!$B$2:$D$200, 2, FALSE), "-")</f>
        <v>60874000</v>
      </c>
      <c r="H14" s="277"/>
      <c r="I14" s="278"/>
      <c r="J14" s="249" t="s">
        <v>38</v>
      </c>
      <c r="K14" s="250"/>
      <c r="L14" s="251"/>
      <c r="M14" s="279">
        <f>_xlfn.IFNA(VLOOKUP(B14, 현재가테이블!$B$2:$D$200, 3, FALSE), "-")</f>
        <v>-1.4936000099999999E-2</v>
      </c>
      <c r="N14" s="280"/>
      <c r="O14" s="281"/>
      <c r="Q14" s="270"/>
      <c r="R14" s="270"/>
      <c r="S14" s="270"/>
    </row>
    <row r="15" spans="1:19" ht="17.25" customHeight="1" thickBot="1">
      <c r="A15" s="185" t="s">
        <v>39</v>
      </c>
      <c r="B15" s="312" t="str">
        <f>TEXT($G$1, "[$-ko-KR]yyyy-mm-dd(ddd) ") &amp; "오전 00:00"</f>
        <v>2021-05-10(월) 오전 00:00</v>
      </c>
      <c r="C15" s="313"/>
      <c r="D15" s="272" t="str">
        <f>TEXT($G$1, "[$-ko-KR]yyyy-mm-dd(ddd) ") &amp; "오후 14:00"</f>
        <v>2021-05-10(월) 오후 14:00</v>
      </c>
      <c r="E15" s="273"/>
      <c r="F15" s="274"/>
      <c r="G15" s="272" t="str">
        <f>TEXT($G$1, "[$-ko-KR]yyyy-mm-dd(ddd) ") &amp; "오후 19:00"</f>
        <v>2021-05-10(월) 오후 19:00</v>
      </c>
      <c r="H15" s="273"/>
      <c r="I15" s="274"/>
      <c r="J15" s="272" t="str">
        <f>TEXT($G$1, "[$-ko-KR]yyyy-mm-dd(ddd) ") &amp; "오후 21:00"</f>
        <v>2021-05-10(월) 오후 21:00</v>
      </c>
      <c r="K15" s="273"/>
      <c r="L15" s="274"/>
      <c r="M15" s="272" t="str">
        <f>TEXT($G$1+1, "[$-ko-KR]yyyy-mm-dd(ddd) ") &amp; "오전 00:00"</f>
        <v>2021-05-11(화) 오전 00:00</v>
      </c>
      <c r="N15" s="273"/>
      <c r="O15" s="274"/>
      <c r="Q15" s="270"/>
      <c r="R15" s="270"/>
      <c r="S15" s="270"/>
    </row>
    <row r="16" spans="1:19" ht="17.25" customHeight="1" thickBot="1">
      <c r="A16" s="185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80" t="s">
        <v>37</v>
      </c>
      <c r="H16" s="181" t="s">
        <v>40</v>
      </c>
      <c r="I16" s="182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75"/>
      <c r="R16" s="275"/>
      <c r="S16" s="275"/>
    </row>
    <row r="17" spans="1:19" ht="17.25" customHeight="1" thickBot="1">
      <c r="A17" s="122" t="s">
        <v>240</v>
      </c>
      <c r="B17" s="123">
        <f>IF(NOT(ISBLANK(_xlfn.IFNA(VLOOKUP($A17, $A$40:$O$199, 2, FALSE), ))), _xlfn.IFNA(VLOOKUP($A17, $A$40:$O$199, 2, FALSE), ), "")</f>
        <v>181</v>
      </c>
      <c r="C17" s="72">
        <f>IF(NOT(ISBLANK(_xlfn.IFNA(VLOOKUP($A17, $A$40:$O$199, 3, FALSE), ))), _xlfn.IFNA(VLOOKUP($A17, $A$40:$O$199, 3, FALSE), ), "")</f>
        <v>2.2598870100000001E-2</v>
      </c>
      <c r="D17" s="13">
        <f>IF(NOT(ISBLANK(_xlfn.IFNA(VLOOKUP($A17, $A$40:$O$199, 4, FALSE), ))), _xlfn.IFNA(VLOOKUP($A17, $A$40:$O$199, 4, FALSE), ), "")</f>
        <v>178</v>
      </c>
      <c r="E17" s="14">
        <f>IF(NOT(ISBLANK(_xlfn.IFNA(VLOOKUP($A17, $A$40:$O$199, 5, FALSE), ))), _xlfn.IFNA(VLOOKUP($A17, $A$40:$O$199, 5, FALSE), ), "")</f>
        <v>-1.6574585635359115E-2</v>
      </c>
      <c r="F17" s="16">
        <f>IF(NOT(ISBLANK(_xlfn.IFNA(VLOOKUP($A17, $A$40:$O$199, 6, FALSE), ))), _xlfn.IFNA(VLOOKUP($A17, $A$40:$O$199, 6, FALSE), ), "")</f>
        <v>-2486.1878453038671</v>
      </c>
      <c r="G17" s="29">
        <f>IF(NOT(ISBLANK(_xlfn.IFNA(VLOOKUP($A17, $A$40:$O$199, 7, FALSE), ))), _xlfn.IFNA(VLOOKUP($A17, $A$40:$O$199, 7, FALSE), ), "")</f>
        <v>176</v>
      </c>
      <c r="H17" s="14">
        <f>IF(NOT(ISBLANK(_xlfn.IFNA(VLOOKUP($A17, $A$40:$O$199, 8, FALSE), ))), _xlfn.IFNA(VLOOKUP($A17, $A$40:$O$199, 8, FALSE), ), "")</f>
        <v>-2.7624309392265192E-2</v>
      </c>
      <c r="I17" s="96">
        <f>IF(NOT(ISBLANK(_xlfn.IFNA(VLOOKUP($A17, $A$40:$O$199, 9, FALSE), ))), _xlfn.IFNA(VLOOKUP($A17, $A$40:$O$199, 9, FALSE), ), "")</f>
        <v>-4143.6464088397788</v>
      </c>
      <c r="J17" s="13">
        <f>IF(NOT(ISBLANK(_xlfn.IFNA(VLOOKUP($A17, $A$40:$O$199, 10, FALSE), ))), _xlfn.IFNA(VLOOKUP($A17, $A$40:$O$199, 10, FALSE), ), "")</f>
        <v>177</v>
      </c>
      <c r="K17" s="14">
        <f>IF(NOT(ISBLANK(_xlfn.IFNA(VLOOKUP($A17, $A$40:$O$199, 11, FALSE), ))), _xlfn.IFNA(VLOOKUP($A17, $A$40:$O$199, 11, FALSE), ), "")</f>
        <v>-2.2099447513812154E-2</v>
      </c>
      <c r="L17" s="16">
        <f>IF(NOT(ISBLANK(_xlfn.IFNA(VLOOKUP($A17, $A$40:$O$199, 12, FALSE), ))), _xlfn.IFNA(VLOOKUP($A17, $A$40:$O$199, 12, FALSE), ), "")</f>
        <v>-3314.917127071823</v>
      </c>
      <c r="M17" s="29">
        <f>IF(NOT(ISBLANK(_xlfn.IFNA(VLOOKUP($A17, $A$40:$O$199, 13, FALSE), ))), _xlfn.IFNA(VLOOKUP($A17, $A$40:$O$199, 13, FALSE), ), "")</f>
        <v>172</v>
      </c>
      <c r="N17" s="14">
        <f>IF(NOT(ISBLANK(_xlfn.IFNA(VLOOKUP($A17, $A$40:$O$199, 14, FALSE), ))), _xlfn.IFNA(VLOOKUP($A17, $A$40:$O$199, 14, FALSE), ), "")</f>
        <v>-4.9723756906077346E-2</v>
      </c>
      <c r="O17" s="16">
        <f>IF(NOT(ISBLANK(_xlfn.IFNA(VLOOKUP($A17, $A$40:$O$199, 15, FALSE), ))), _xlfn.IFNA(VLOOKUP($A17, $A$40:$O$199, 15, FALSE), ), "")</f>
        <v>-7458.5635359116022</v>
      </c>
      <c r="Q17" s="270"/>
      <c r="R17" s="270"/>
      <c r="S17" s="270"/>
    </row>
    <row r="18" spans="1:19" ht="17.25" customHeight="1" thickBot="1">
      <c r="A18" s="124" t="s">
        <v>208</v>
      </c>
      <c r="B18" s="125">
        <f t="shared" ref="B18:B36" si="0">IF(NOT(ISBLANK(_xlfn.IFNA(VLOOKUP($A18, $A$40:$O$199, 2, FALSE), ))), _xlfn.IFNA(VLOOKUP($A18, $A$40:$O$199, 2, FALSE), ), "")</f>
        <v>485</v>
      </c>
      <c r="C18" s="73">
        <f t="shared" ref="C18:C36" si="1">IF(NOT(ISBLANK(_xlfn.IFNA(VLOOKUP($A18, $A$40:$O$199, 3, FALSE), ))), _xlfn.IFNA(VLOOKUP($A18, $A$40:$O$199, 3, FALSE), ), "")</f>
        <v>1.46443515E-2</v>
      </c>
      <c r="D18" s="15">
        <f t="shared" ref="D18:D36" si="2">IF(NOT(ISBLANK(_xlfn.IFNA(VLOOKUP($A18, $A$40:$O$199, 4, FALSE), ))), _xlfn.IFNA(VLOOKUP($A18, $A$40:$O$199, 4, FALSE), ), "")</f>
        <v>480</v>
      </c>
      <c r="E18" s="32">
        <f t="shared" ref="E18:E36" si="3">IF(NOT(ISBLANK(_xlfn.IFNA(VLOOKUP($A18, $A$40:$O$199, 5, FALSE), ))), _xlfn.IFNA(VLOOKUP($A18, $A$40:$O$199, 5, FALSE), ), "")</f>
        <v>-1.0309278350515464E-2</v>
      </c>
      <c r="F18" s="18">
        <f t="shared" ref="F18:F36" si="4">IF(NOT(ISBLANK(_xlfn.IFNA(VLOOKUP($A18, $A$40:$O$199, 6, FALSE), ))), _xlfn.IFNA(VLOOKUP($A18, $A$40:$O$199, 6, FALSE), ), "")</f>
        <v>-1546.3917525773195</v>
      </c>
      <c r="G18" s="31">
        <f t="shared" ref="G18:G36" si="5">IF(NOT(ISBLANK(_xlfn.IFNA(VLOOKUP($A18, $A$40:$O$199, 7, FALSE), ))), _xlfn.IFNA(VLOOKUP($A18, $A$40:$O$199, 7, FALSE), ), "")</f>
        <v>478</v>
      </c>
      <c r="H18" s="32">
        <f t="shared" ref="H18:H36" si="6">IF(NOT(ISBLANK(_xlfn.IFNA(VLOOKUP($A18, $A$40:$O$199, 8, FALSE), ))), _xlfn.IFNA(VLOOKUP($A18, $A$40:$O$199, 8, FALSE), ), "")</f>
        <v>-1.443298969072165E-2</v>
      </c>
      <c r="I18" s="97">
        <f t="shared" ref="I18:I36" si="7">IF(NOT(ISBLANK(_xlfn.IFNA(VLOOKUP($A18, $A$40:$O$199, 9, FALSE), ))), _xlfn.IFNA(VLOOKUP($A18, $A$40:$O$199, 9, FALSE), ), "")</f>
        <v>-2164.9484536082477</v>
      </c>
      <c r="J18" s="15">
        <f t="shared" ref="J18:J36" si="8">IF(NOT(ISBLANK(_xlfn.IFNA(VLOOKUP($A18, $A$40:$O$199, 10, FALSE), ))), _xlfn.IFNA(VLOOKUP($A18, $A$40:$O$199, 10, FALSE), ), "")</f>
        <v>477</v>
      </c>
      <c r="K18" s="32">
        <f t="shared" ref="K18:K36" si="9">IF(NOT(ISBLANK(_xlfn.IFNA(VLOOKUP($A18, $A$40:$O$199, 11, FALSE), ))), _xlfn.IFNA(VLOOKUP($A18, $A$40:$O$199, 11, FALSE), ), "")</f>
        <v>-1.6494845360824743E-2</v>
      </c>
      <c r="L18" s="18">
        <f t="shared" ref="L18:L36" si="10">IF(NOT(ISBLANK(_xlfn.IFNA(VLOOKUP($A18, $A$40:$O$199, 12, FALSE), ))), _xlfn.IFNA(VLOOKUP($A18, $A$40:$O$199, 12, FALSE), ), "")</f>
        <v>-2474.2268041237112</v>
      </c>
      <c r="M18" s="31">
        <f t="shared" ref="M18:M36" si="11">IF(NOT(ISBLANK(_xlfn.IFNA(VLOOKUP($A18, $A$40:$O$199, 13, FALSE), ))), _xlfn.IFNA(VLOOKUP($A18, $A$40:$O$199, 13, FALSE), ), "")</f>
        <v>474</v>
      </c>
      <c r="N18" s="32">
        <f t="shared" ref="N18:N36" si="12">IF(NOT(ISBLANK(_xlfn.IFNA(VLOOKUP($A18, $A$40:$O$199, 14, FALSE), ))), _xlfn.IFNA(VLOOKUP($A18, $A$40:$O$199, 14, FALSE), ), "")</f>
        <v>-2.268041237113402E-2</v>
      </c>
      <c r="O18" s="18">
        <f t="shared" ref="O18:O36" si="13">IF(NOT(ISBLANK(_xlfn.IFNA(VLOOKUP($A18, $A$40:$O$199, 15, FALSE), ))), _xlfn.IFNA(VLOOKUP($A18, $A$40:$O$199, 15, FALSE), ), "")</f>
        <v>-3402.0618556701029</v>
      </c>
      <c r="Q18" s="270"/>
      <c r="R18" s="270"/>
      <c r="S18" s="270"/>
    </row>
    <row r="19" spans="1:19" ht="17.25" customHeight="1" thickBot="1">
      <c r="A19" s="124" t="s">
        <v>132</v>
      </c>
      <c r="B19" s="125">
        <f t="shared" si="0"/>
        <v>270</v>
      </c>
      <c r="C19" s="73">
        <f t="shared" si="1"/>
        <v>-7.3529412000000001E-3</v>
      </c>
      <c r="D19" s="15">
        <f t="shared" si="2"/>
        <v>280</v>
      </c>
      <c r="E19" s="32">
        <f t="shared" si="3"/>
        <v>3.7037037037037035E-2</v>
      </c>
      <c r="F19" s="18">
        <f t="shared" si="4"/>
        <v>5555.5555555555557</v>
      </c>
      <c r="G19" s="31">
        <f t="shared" si="5"/>
        <v>279</v>
      </c>
      <c r="H19" s="32">
        <f t="shared" si="6"/>
        <v>3.3333333333333333E-2</v>
      </c>
      <c r="I19" s="97">
        <f t="shared" si="7"/>
        <v>5000</v>
      </c>
      <c r="J19" s="15">
        <f t="shared" si="8"/>
        <v>278</v>
      </c>
      <c r="K19" s="32">
        <f t="shared" si="9"/>
        <v>2.9629629629629631E-2</v>
      </c>
      <c r="L19" s="18">
        <f t="shared" si="10"/>
        <v>4444.4444444444443</v>
      </c>
      <c r="M19" s="31">
        <f t="shared" si="11"/>
        <v>273</v>
      </c>
      <c r="N19" s="32">
        <f t="shared" si="12"/>
        <v>1.1111111111111112E-2</v>
      </c>
      <c r="O19" s="18">
        <f t="shared" si="13"/>
        <v>1666.6666666666667</v>
      </c>
      <c r="Q19" s="275"/>
      <c r="R19" s="275"/>
      <c r="S19" s="275"/>
    </row>
    <row r="20" spans="1:19" ht="17.25" customHeight="1" thickBot="1">
      <c r="A20" s="124" t="s">
        <v>51</v>
      </c>
      <c r="B20" s="125">
        <f t="shared" si="0"/>
        <v>743</v>
      </c>
      <c r="C20" s="73">
        <f t="shared" si="1"/>
        <v>-8.0106809000000008E-3</v>
      </c>
      <c r="D20" s="15">
        <f t="shared" si="2"/>
        <v>815</v>
      </c>
      <c r="E20" s="32">
        <f t="shared" si="3"/>
        <v>9.6904441453566623E-2</v>
      </c>
      <c r="F20" s="18">
        <f t="shared" si="4"/>
        <v>14535.666218034994</v>
      </c>
      <c r="G20" s="31">
        <f t="shared" si="5"/>
        <v>963</v>
      </c>
      <c r="H20" s="32">
        <f t="shared" si="6"/>
        <v>0.29609690444145359</v>
      </c>
      <c r="I20" s="97">
        <f t="shared" si="7"/>
        <v>44414.535666218042</v>
      </c>
      <c r="J20" s="15">
        <f t="shared" si="8"/>
        <v>897</v>
      </c>
      <c r="K20" s="32">
        <f t="shared" si="9"/>
        <v>0.2072678331090175</v>
      </c>
      <c r="L20" s="18">
        <f t="shared" si="10"/>
        <v>31090.174966352624</v>
      </c>
      <c r="M20" s="31">
        <f t="shared" si="11"/>
        <v>900</v>
      </c>
      <c r="N20" s="32">
        <f t="shared" si="12"/>
        <v>0.21130551816958276</v>
      </c>
      <c r="O20" s="18">
        <f t="shared" si="13"/>
        <v>31695.827725437415</v>
      </c>
      <c r="Q20" s="275"/>
      <c r="R20" s="275"/>
      <c r="S20" s="275"/>
    </row>
    <row r="21" spans="1:19" ht="17.25" customHeight="1" thickBot="1">
      <c r="A21" s="126" t="s">
        <v>226</v>
      </c>
      <c r="B21" s="127">
        <f t="shared" si="0"/>
        <v>493</v>
      </c>
      <c r="C21" s="74">
        <f t="shared" si="1"/>
        <v>-8.0482897000000008E-3</v>
      </c>
      <c r="D21" s="20">
        <f t="shared" si="2"/>
        <v>496</v>
      </c>
      <c r="E21" s="21">
        <f t="shared" si="3"/>
        <v>6.0851926977687626E-3</v>
      </c>
      <c r="F21" s="22">
        <f t="shared" si="4"/>
        <v>912.77890466531437</v>
      </c>
      <c r="G21" s="30">
        <f t="shared" si="5"/>
        <v>498</v>
      </c>
      <c r="H21" s="21">
        <f t="shared" si="6"/>
        <v>1.0141987829614604E-2</v>
      </c>
      <c r="I21" s="101">
        <f t="shared" si="7"/>
        <v>1521.2981744421907</v>
      </c>
      <c r="J21" s="20">
        <f t="shared" si="8"/>
        <v>494</v>
      </c>
      <c r="K21" s="21">
        <f t="shared" si="9"/>
        <v>2.0283975659229209E-3</v>
      </c>
      <c r="L21" s="22">
        <f t="shared" si="10"/>
        <v>304.25963488843814</v>
      </c>
      <c r="M21" s="30">
        <f t="shared" si="11"/>
        <v>491</v>
      </c>
      <c r="N21" s="21">
        <f t="shared" si="12"/>
        <v>-4.0567951318458417E-3</v>
      </c>
      <c r="O21" s="22">
        <f t="shared" si="13"/>
        <v>-608.51926977687629</v>
      </c>
      <c r="Q21" s="275"/>
      <c r="R21" s="275"/>
      <c r="S21" s="275"/>
    </row>
    <row r="22" spans="1:19" ht="17.25" customHeight="1" thickBot="1">
      <c r="A22" s="124" t="s">
        <v>148</v>
      </c>
      <c r="B22" s="128">
        <f t="shared" si="0"/>
        <v>194</v>
      </c>
      <c r="C22" s="76">
        <f t="shared" si="1"/>
        <v>-1.02040816E-2</v>
      </c>
      <c r="D22" s="102">
        <f t="shared" si="2"/>
        <v>192</v>
      </c>
      <c r="E22" s="103">
        <f t="shared" si="3"/>
        <v>-1.0309278350515464E-2</v>
      </c>
      <c r="F22" s="104">
        <f t="shared" si="4"/>
        <v>-1546.3917525773195</v>
      </c>
      <c r="G22" s="105">
        <f t="shared" si="5"/>
        <v>194</v>
      </c>
      <c r="H22" s="103">
        <f t="shared" si="6"/>
        <v>0</v>
      </c>
      <c r="I22" s="106">
        <f t="shared" si="7"/>
        <v>0</v>
      </c>
      <c r="J22" s="102">
        <f t="shared" si="8"/>
        <v>194</v>
      </c>
      <c r="K22" s="103">
        <f t="shared" si="9"/>
        <v>0</v>
      </c>
      <c r="L22" s="104">
        <f t="shared" si="10"/>
        <v>0</v>
      </c>
      <c r="M22" s="105">
        <f t="shared" si="11"/>
        <v>193</v>
      </c>
      <c r="N22" s="103">
        <f t="shared" si="12"/>
        <v>-5.1546391752577319E-3</v>
      </c>
      <c r="O22" s="104">
        <f t="shared" si="13"/>
        <v>-773.19587628865975</v>
      </c>
      <c r="Q22" s="275"/>
      <c r="R22" s="275"/>
      <c r="S22" s="275"/>
    </row>
    <row r="23" spans="1:19" ht="17.25" customHeight="1" thickBot="1">
      <c r="A23" s="124" t="s">
        <v>156</v>
      </c>
      <c r="B23" s="125">
        <f t="shared" si="0"/>
        <v>172</v>
      </c>
      <c r="C23" s="73">
        <f t="shared" si="1"/>
        <v>-1.14942529E-2</v>
      </c>
      <c r="D23" s="15">
        <f t="shared" si="2"/>
        <v>178</v>
      </c>
      <c r="E23" s="32">
        <f t="shared" si="3"/>
        <v>3.4883720930232558E-2</v>
      </c>
      <c r="F23" s="18">
        <f t="shared" si="4"/>
        <v>5232.5581395348836</v>
      </c>
      <c r="G23" s="31">
        <f t="shared" si="5"/>
        <v>179</v>
      </c>
      <c r="H23" s="32">
        <f t="shared" si="6"/>
        <v>4.0697674418604654E-2</v>
      </c>
      <c r="I23" s="97">
        <f t="shared" si="7"/>
        <v>6104.6511627906984</v>
      </c>
      <c r="J23" s="15">
        <f t="shared" si="8"/>
        <v>177</v>
      </c>
      <c r="K23" s="32">
        <f t="shared" si="9"/>
        <v>2.9069767441860465E-2</v>
      </c>
      <c r="L23" s="18">
        <f t="shared" si="10"/>
        <v>4360.4651162790697</v>
      </c>
      <c r="M23" s="31">
        <f t="shared" si="11"/>
        <v>175</v>
      </c>
      <c r="N23" s="32">
        <f t="shared" si="12"/>
        <v>1.7441860465116279E-2</v>
      </c>
      <c r="O23" s="18">
        <f t="shared" si="13"/>
        <v>2616.2790697674418</v>
      </c>
      <c r="Q23" s="275"/>
      <c r="R23" s="275"/>
      <c r="S23" s="275"/>
    </row>
    <row r="24" spans="1:19" ht="17.25" customHeight="1" thickBot="1">
      <c r="A24" s="124" t="s">
        <v>112</v>
      </c>
      <c r="B24" s="125">
        <f t="shared" si="0"/>
        <v>252</v>
      </c>
      <c r="C24" s="73">
        <f t="shared" si="1"/>
        <v>-1.9455252900000001E-2</v>
      </c>
      <c r="D24" s="15">
        <f t="shared" si="2"/>
        <v>256</v>
      </c>
      <c r="E24" s="32">
        <f t="shared" si="3"/>
        <v>1.5873015873015872E-2</v>
      </c>
      <c r="F24" s="18">
        <f t="shared" si="4"/>
        <v>2380.9523809523807</v>
      </c>
      <c r="G24" s="31">
        <f t="shared" si="5"/>
        <v>255</v>
      </c>
      <c r="H24" s="32">
        <f t="shared" si="6"/>
        <v>1.1904761904761904E-2</v>
      </c>
      <c r="I24" s="97">
        <f t="shared" si="7"/>
        <v>1785.7142857142856</v>
      </c>
      <c r="J24" s="15">
        <f t="shared" si="8"/>
        <v>254</v>
      </c>
      <c r="K24" s="32">
        <f t="shared" si="9"/>
        <v>7.9365079365079361E-3</v>
      </c>
      <c r="L24" s="18">
        <f t="shared" si="10"/>
        <v>1190.4761904761904</v>
      </c>
      <c r="M24" s="31">
        <f t="shared" si="11"/>
        <v>253</v>
      </c>
      <c r="N24" s="32">
        <f t="shared" si="12"/>
        <v>3.968253968253968E-3</v>
      </c>
      <c r="O24" s="18">
        <f t="shared" si="13"/>
        <v>595.23809523809518</v>
      </c>
      <c r="Q24" s="275"/>
      <c r="R24" s="275"/>
      <c r="S24" s="275"/>
    </row>
    <row r="25" spans="1:19" ht="17.25" customHeight="1" thickBot="1">
      <c r="A25" s="124" t="s">
        <v>54</v>
      </c>
      <c r="B25" s="125">
        <f t="shared" si="0"/>
        <v>354</v>
      </c>
      <c r="C25" s="73">
        <f t="shared" si="1"/>
        <v>-2.2099447500000001E-2</v>
      </c>
      <c r="D25" s="15">
        <f t="shared" si="2"/>
        <v>357</v>
      </c>
      <c r="E25" s="32">
        <f t="shared" si="3"/>
        <v>8.4745762711864406E-3</v>
      </c>
      <c r="F25" s="18">
        <f t="shared" si="4"/>
        <v>1271.1864406779662</v>
      </c>
      <c r="G25" s="31">
        <f t="shared" si="5"/>
        <v>360</v>
      </c>
      <c r="H25" s="32">
        <f t="shared" si="6"/>
        <v>1.6949152542372881E-2</v>
      </c>
      <c r="I25" s="97">
        <f t="shared" si="7"/>
        <v>2542.3728813559323</v>
      </c>
      <c r="J25" s="15">
        <f t="shared" si="8"/>
        <v>354</v>
      </c>
      <c r="K25" s="32">
        <f t="shared" si="9"/>
        <v>0</v>
      </c>
      <c r="L25" s="18">
        <f t="shared" si="10"/>
        <v>0</v>
      </c>
      <c r="M25" s="31">
        <f t="shared" si="11"/>
        <v>349</v>
      </c>
      <c r="N25" s="32">
        <f t="shared" si="12"/>
        <v>-1.4124293785310734E-2</v>
      </c>
      <c r="O25" s="18">
        <f t="shared" si="13"/>
        <v>-2118.6440677966102</v>
      </c>
      <c r="Q25" s="33"/>
      <c r="R25" s="33"/>
    </row>
    <row r="26" spans="1:19" ht="17.25" customHeight="1" thickBot="1">
      <c r="A26" s="129" t="s">
        <v>278</v>
      </c>
      <c r="B26" s="130">
        <f t="shared" si="0"/>
        <v>163</v>
      </c>
      <c r="C26" s="75">
        <f t="shared" si="1"/>
        <v>-2.39520958E-2</v>
      </c>
      <c r="D26" s="24">
        <f t="shared" si="2"/>
        <v>165</v>
      </c>
      <c r="E26" s="25">
        <f t="shared" si="3"/>
        <v>1.2269938650306749E-2</v>
      </c>
      <c r="F26" s="100">
        <f t="shared" si="4"/>
        <v>1840.4907975460123</v>
      </c>
      <c r="G26" s="98">
        <f t="shared" si="5"/>
        <v>165</v>
      </c>
      <c r="H26" s="25">
        <f t="shared" si="6"/>
        <v>1.2269938650306749E-2</v>
      </c>
      <c r="I26" s="99">
        <f t="shared" si="7"/>
        <v>1840.4907975460123</v>
      </c>
      <c r="J26" s="24">
        <f t="shared" si="8"/>
        <v>164</v>
      </c>
      <c r="K26" s="25">
        <f t="shared" si="9"/>
        <v>6.1349693251533744E-3</v>
      </c>
      <c r="L26" s="100">
        <f t="shared" si="10"/>
        <v>920.24539877300617</v>
      </c>
      <c r="M26" s="98">
        <f t="shared" si="11"/>
        <v>163</v>
      </c>
      <c r="N26" s="25">
        <f t="shared" si="12"/>
        <v>0</v>
      </c>
      <c r="O26" s="100">
        <f t="shared" si="13"/>
        <v>0</v>
      </c>
      <c r="Q26" s="284"/>
      <c r="R26" s="285"/>
      <c r="S26" s="286"/>
    </row>
    <row r="27" spans="1:19" ht="17.25" customHeight="1">
      <c r="A27" s="122" t="s">
        <v>88</v>
      </c>
      <c r="B27" s="123">
        <f t="shared" si="0"/>
        <v>592</v>
      </c>
      <c r="C27" s="72">
        <f t="shared" si="1"/>
        <v>-2.47116969E-2</v>
      </c>
      <c r="D27" s="13">
        <f t="shared" si="2"/>
        <v>601</v>
      </c>
      <c r="E27" s="14">
        <f t="shared" si="3"/>
        <v>1.5202702702702704E-2</v>
      </c>
      <c r="F27" s="16">
        <f t="shared" si="4"/>
        <v>2280.4054054054054</v>
      </c>
      <c r="G27" s="29">
        <f t="shared" si="5"/>
        <v>594</v>
      </c>
      <c r="H27" s="14">
        <f t="shared" si="6"/>
        <v>3.3783783783783786E-3</v>
      </c>
      <c r="I27" s="96">
        <f t="shared" si="7"/>
        <v>506.75675675675677</v>
      </c>
      <c r="J27" s="13">
        <f t="shared" si="8"/>
        <v>592</v>
      </c>
      <c r="K27" s="14">
        <f t="shared" si="9"/>
        <v>0</v>
      </c>
      <c r="L27" s="16">
        <f t="shared" si="10"/>
        <v>0</v>
      </c>
      <c r="M27" s="29">
        <f t="shared" si="11"/>
        <v>586</v>
      </c>
      <c r="N27" s="14">
        <f t="shared" si="12"/>
        <v>-1.0135135135135136E-2</v>
      </c>
      <c r="O27" s="16">
        <f t="shared" si="13"/>
        <v>-1520.2702702702704</v>
      </c>
      <c r="Q27" s="287"/>
      <c r="R27" s="288"/>
      <c r="S27" s="289"/>
    </row>
    <row r="28" spans="1:19" ht="17.25" customHeight="1" thickBot="1">
      <c r="A28" s="124" t="s">
        <v>128</v>
      </c>
      <c r="B28" s="125">
        <f t="shared" si="0"/>
        <v>715</v>
      </c>
      <c r="C28" s="73">
        <f t="shared" si="1"/>
        <v>-2.85326087E-2</v>
      </c>
      <c r="D28" s="15">
        <f t="shared" si="2"/>
        <v>704</v>
      </c>
      <c r="E28" s="32">
        <f t="shared" si="3"/>
        <v>-1.5384615384615385E-2</v>
      </c>
      <c r="F28" s="18">
        <f t="shared" si="4"/>
        <v>-2307.6923076923076</v>
      </c>
      <c r="G28" s="31">
        <f t="shared" si="5"/>
        <v>703</v>
      </c>
      <c r="H28" s="32">
        <f t="shared" si="6"/>
        <v>-1.6783216783216783E-2</v>
      </c>
      <c r="I28" s="97">
        <f t="shared" si="7"/>
        <v>-2517.4825174825173</v>
      </c>
      <c r="J28" s="15">
        <f t="shared" si="8"/>
        <v>697</v>
      </c>
      <c r="K28" s="32">
        <f t="shared" si="9"/>
        <v>-2.5174825174825177E-2</v>
      </c>
      <c r="L28" s="18">
        <f t="shared" si="10"/>
        <v>-3776.2237762237764</v>
      </c>
      <c r="M28" s="31">
        <f t="shared" si="11"/>
        <v>685</v>
      </c>
      <c r="N28" s="32">
        <f t="shared" si="12"/>
        <v>-4.195804195804196E-2</v>
      </c>
      <c r="O28" s="18">
        <f t="shared" si="13"/>
        <v>-6293.7062937062938</v>
      </c>
      <c r="Q28" s="290"/>
      <c r="R28" s="291"/>
      <c r="S28" s="292"/>
    </row>
    <row r="29" spans="1:19" ht="17.25" customHeight="1" thickBot="1">
      <c r="A29" s="124" t="s">
        <v>116</v>
      </c>
      <c r="B29" s="125">
        <f t="shared" si="0"/>
        <v>640</v>
      </c>
      <c r="C29" s="73">
        <f t="shared" si="1"/>
        <v>-3.1770045400000002E-2</v>
      </c>
      <c r="D29" s="15">
        <f t="shared" si="2"/>
        <v>654</v>
      </c>
      <c r="E29" s="32">
        <f t="shared" si="3"/>
        <v>2.1874999999999999E-2</v>
      </c>
      <c r="F29" s="18">
        <f t="shared" si="4"/>
        <v>3281.25</v>
      </c>
      <c r="G29" s="31">
        <f t="shared" si="5"/>
        <v>648</v>
      </c>
      <c r="H29" s="32">
        <f t="shared" si="6"/>
        <v>1.2500000000000001E-2</v>
      </c>
      <c r="I29" s="97">
        <f t="shared" si="7"/>
        <v>1875</v>
      </c>
      <c r="J29" s="15">
        <f t="shared" si="8"/>
        <v>648</v>
      </c>
      <c r="K29" s="32">
        <f t="shared" si="9"/>
        <v>1.2500000000000001E-2</v>
      </c>
      <c r="L29" s="18">
        <f t="shared" si="10"/>
        <v>1875</v>
      </c>
      <c r="M29" s="31">
        <f t="shared" si="11"/>
        <v>637</v>
      </c>
      <c r="N29" s="32">
        <f t="shared" si="12"/>
        <v>-4.6874999999999998E-3</v>
      </c>
      <c r="O29" s="18">
        <f t="shared" si="13"/>
        <v>-703.125</v>
      </c>
      <c r="Q29" s="275"/>
      <c r="R29" s="275"/>
      <c r="S29" s="275"/>
    </row>
    <row r="30" spans="1:19" ht="17.25" customHeight="1" thickBot="1">
      <c r="A30" s="124" t="s">
        <v>202</v>
      </c>
      <c r="B30" s="125">
        <f t="shared" si="0"/>
        <v>196</v>
      </c>
      <c r="C30" s="73">
        <f t="shared" si="1"/>
        <v>-3.4482758600000003E-2</v>
      </c>
      <c r="D30" s="15">
        <f t="shared" si="2"/>
        <v>198</v>
      </c>
      <c r="E30" s="32">
        <f t="shared" si="3"/>
        <v>1.020408163265306E-2</v>
      </c>
      <c r="F30" s="18">
        <f t="shared" si="4"/>
        <v>1530.612244897959</v>
      </c>
      <c r="G30" s="31">
        <f t="shared" si="5"/>
        <v>197</v>
      </c>
      <c r="H30" s="32">
        <f t="shared" si="6"/>
        <v>5.1020408163265302E-3</v>
      </c>
      <c r="I30" s="97">
        <f t="shared" si="7"/>
        <v>765.30612244897952</v>
      </c>
      <c r="J30" s="15">
        <f t="shared" si="8"/>
        <v>195</v>
      </c>
      <c r="K30" s="32">
        <f t="shared" si="9"/>
        <v>-5.1020408163265302E-3</v>
      </c>
      <c r="L30" s="18">
        <f t="shared" si="10"/>
        <v>-765.30612244897952</v>
      </c>
      <c r="M30" s="31">
        <f t="shared" si="11"/>
        <v>195</v>
      </c>
      <c r="N30" s="32">
        <f t="shared" si="12"/>
        <v>-5.1020408163265302E-3</v>
      </c>
      <c r="O30" s="18">
        <f t="shared" si="13"/>
        <v>-765.30612244897952</v>
      </c>
      <c r="Q30" s="270"/>
      <c r="R30" s="270"/>
      <c r="S30" s="270"/>
    </row>
    <row r="31" spans="1:19" ht="17.25" customHeight="1" thickBot="1">
      <c r="A31" s="126" t="s">
        <v>136</v>
      </c>
      <c r="B31" s="127">
        <f t="shared" si="0"/>
        <v>276</v>
      </c>
      <c r="C31" s="74">
        <f t="shared" si="1"/>
        <v>-3.4965034999999998E-2</v>
      </c>
      <c r="D31" s="20">
        <f t="shared" si="2"/>
        <v>301</v>
      </c>
      <c r="E31" s="21">
        <f t="shared" si="3"/>
        <v>9.0579710144927536E-2</v>
      </c>
      <c r="F31" s="22">
        <f t="shared" si="4"/>
        <v>13586.95652173913</v>
      </c>
      <c r="G31" s="30">
        <f t="shared" si="5"/>
        <v>300</v>
      </c>
      <c r="H31" s="21">
        <f t="shared" si="6"/>
        <v>8.6956521739130432E-2</v>
      </c>
      <c r="I31" s="101">
        <f t="shared" si="7"/>
        <v>13043.478260869564</v>
      </c>
      <c r="J31" s="20">
        <f t="shared" si="8"/>
        <v>293</v>
      </c>
      <c r="K31" s="21">
        <f t="shared" si="9"/>
        <v>6.1594202898550728E-2</v>
      </c>
      <c r="L31" s="22">
        <f t="shared" si="10"/>
        <v>9239.1304347826099</v>
      </c>
      <c r="M31" s="30">
        <f t="shared" si="11"/>
        <v>283</v>
      </c>
      <c r="N31" s="21">
        <f t="shared" si="12"/>
        <v>2.5362318840579712E-2</v>
      </c>
      <c r="O31" s="22">
        <f t="shared" si="13"/>
        <v>3804.347826086957</v>
      </c>
      <c r="Q31" s="270"/>
      <c r="R31" s="270"/>
      <c r="S31" s="270"/>
    </row>
    <row r="32" spans="1:19" ht="17.25" customHeight="1" thickBot="1">
      <c r="A32" s="124" t="s">
        <v>120</v>
      </c>
      <c r="B32" s="128">
        <f t="shared" si="0"/>
        <v>216</v>
      </c>
      <c r="C32" s="76">
        <f t="shared" si="1"/>
        <v>-3.5714285700000001E-2</v>
      </c>
      <c r="D32" s="102">
        <f t="shared" si="2"/>
        <v>220</v>
      </c>
      <c r="E32" s="103">
        <f t="shared" si="3"/>
        <v>1.8518518518518517E-2</v>
      </c>
      <c r="F32" s="104">
        <f t="shared" si="4"/>
        <v>2777.7777777777778</v>
      </c>
      <c r="G32" s="105">
        <f t="shared" si="5"/>
        <v>222</v>
      </c>
      <c r="H32" s="103">
        <f t="shared" si="6"/>
        <v>2.7777777777777776E-2</v>
      </c>
      <c r="I32" s="106">
        <f t="shared" si="7"/>
        <v>4166.6666666666661</v>
      </c>
      <c r="J32" s="102">
        <f t="shared" si="8"/>
        <v>219</v>
      </c>
      <c r="K32" s="103">
        <f t="shared" si="9"/>
        <v>1.3888888888888888E-2</v>
      </c>
      <c r="L32" s="104">
        <f t="shared" si="10"/>
        <v>2083.333333333333</v>
      </c>
      <c r="M32" s="105">
        <f t="shared" si="11"/>
        <v>216</v>
      </c>
      <c r="N32" s="103">
        <f t="shared" si="12"/>
        <v>0</v>
      </c>
      <c r="O32" s="104">
        <f t="shared" si="13"/>
        <v>0</v>
      </c>
      <c r="Q32" s="275"/>
      <c r="R32" s="275"/>
      <c r="S32" s="275"/>
    </row>
    <row r="33" spans="1:19" ht="17.25" customHeight="1" thickBot="1">
      <c r="A33" s="124" t="s">
        <v>142</v>
      </c>
      <c r="B33" s="125">
        <f t="shared" si="0"/>
        <v>472</v>
      </c>
      <c r="C33" s="73">
        <f t="shared" si="1"/>
        <v>-3.6734693899999997E-2</v>
      </c>
      <c r="D33" s="15">
        <f t="shared" si="2"/>
        <v>466</v>
      </c>
      <c r="E33" s="32">
        <f t="shared" si="3"/>
        <v>-1.2711864406779662E-2</v>
      </c>
      <c r="F33" s="18">
        <f t="shared" si="4"/>
        <v>-1906.7796610169494</v>
      </c>
      <c r="G33" s="31">
        <f t="shared" si="5"/>
        <v>466</v>
      </c>
      <c r="H33" s="32">
        <f t="shared" si="6"/>
        <v>-1.2711864406779662E-2</v>
      </c>
      <c r="I33" s="97">
        <f t="shared" si="7"/>
        <v>-1906.7796610169494</v>
      </c>
      <c r="J33" s="15">
        <f t="shared" si="8"/>
        <v>457</v>
      </c>
      <c r="K33" s="32">
        <f t="shared" si="9"/>
        <v>-3.1779661016949151E-2</v>
      </c>
      <c r="L33" s="18">
        <f t="shared" si="10"/>
        <v>-4766.9491525423728</v>
      </c>
      <c r="M33" s="31">
        <f t="shared" si="11"/>
        <v>450</v>
      </c>
      <c r="N33" s="32">
        <f t="shared" si="12"/>
        <v>-4.6610169491525424E-2</v>
      </c>
      <c r="O33" s="18">
        <f t="shared" si="13"/>
        <v>-6991.5254237288136</v>
      </c>
      <c r="Q33" s="275"/>
      <c r="R33" s="275"/>
      <c r="S33" s="275"/>
    </row>
    <row r="34" spans="1:19" ht="17.25" customHeight="1" thickBot="1">
      <c r="A34" s="124" t="s">
        <v>284</v>
      </c>
      <c r="B34" s="125">
        <f t="shared" si="0"/>
        <v>511</v>
      </c>
      <c r="C34" s="73">
        <f t="shared" si="1"/>
        <v>-3.9473684199999998E-2</v>
      </c>
      <c r="D34" s="15">
        <f t="shared" si="2"/>
        <v>505</v>
      </c>
      <c r="E34" s="32">
        <f t="shared" si="3"/>
        <v>-1.1741682974559686E-2</v>
      </c>
      <c r="F34" s="18">
        <f t="shared" si="4"/>
        <v>-1761.252446183953</v>
      </c>
      <c r="G34" s="31">
        <f t="shared" si="5"/>
        <v>506</v>
      </c>
      <c r="H34" s="32">
        <f t="shared" si="6"/>
        <v>-9.7847358121330719E-3</v>
      </c>
      <c r="I34" s="97">
        <f t="shared" si="7"/>
        <v>-1467.7103718199608</v>
      </c>
      <c r="J34" s="15">
        <f t="shared" si="8"/>
        <v>504</v>
      </c>
      <c r="K34" s="32">
        <f t="shared" si="9"/>
        <v>-1.3698630136986301E-2</v>
      </c>
      <c r="L34" s="18">
        <f t="shared" si="10"/>
        <v>-2054.794520547945</v>
      </c>
      <c r="M34" s="31">
        <f t="shared" si="11"/>
        <v>495</v>
      </c>
      <c r="N34" s="32">
        <f t="shared" si="12"/>
        <v>-3.131115459882583E-2</v>
      </c>
      <c r="O34" s="18">
        <f t="shared" si="13"/>
        <v>-4696.6731898238741</v>
      </c>
      <c r="Q34" s="275"/>
      <c r="R34" s="275"/>
      <c r="S34" s="275"/>
    </row>
    <row r="35" spans="1:19" ht="17.25" customHeight="1">
      <c r="A35" s="124" t="s">
        <v>200</v>
      </c>
      <c r="B35" s="125">
        <f t="shared" si="0"/>
        <v>344</v>
      </c>
      <c r="C35" s="73">
        <f t="shared" si="1"/>
        <v>-4.1782729800000001E-2</v>
      </c>
      <c r="D35" s="15">
        <f t="shared" si="2"/>
        <v>343</v>
      </c>
      <c r="E35" s="32">
        <f t="shared" si="3"/>
        <v>-2.9069767441860465E-3</v>
      </c>
      <c r="F35" s="18">
        <f t="shared" si="4"/>
        <v>-436.04651162790697</v>
      </c>
      <c r="G35" s="31">
        <f t="shared" si="5"/>
        <v>346</v>
      </c>
      <c r="H35" s="32">
        <f t="shared" si="6"/>
        <v>5.8139534883720929E-3</v>
      </c>
      <c r="I35" s="97">
        <f t="shared" si="7"/>
        <v>872.09302325581393</v>
      </c>
      <c r="J35" s="15">
        <f t="shared" si="8"/>
        <v>345</v>
      </c>
      <c r="K35" s="32">
        <f t="shared" si="9"/>
        <v>2.9069767441860465E-3</v>
      </c>
      <c r="L35" s="18">
        <f t="shared" si="10"/>
        <v>436.04651162790697</v>
      </c>
      <c r="M35" s="31">
        <f t="shared" si="11"/>
        <v>341</v>
      </c>
      <c r="N35" s="32">
        <f t="shared" si="12"/>
        <v>-8.7209302325581394E-3</v>
      </c>
      <c r="O35" s="18">
        <f t="shared" si="13"/>
        <v>-1308.1395348837209</v>
      </c>
      <c r="Q35" s="297"/>
      <c r="R35" s="298"/>
      <c r="S35" s="299"/>
    </row>
    <row r="36" spans="1:19" ht="17.25" customHeight="1" thickBot="1">
      <c r="A36" s="129" t="s">
        <v>260</v>
      </c>
      <c r="B36" s="130">
        <f t="shared" si="0"/>
        <v>114</v>
      </c>
      <c r="C36" s="75">
        <f t="shared" si="1"/>
        <v>-4.2016806699999999E-2</v>
      </c>
      <c r="D36" s="24">
        <f t="shared" si="2"/>
        <v>114</v>
      </c>
      <c r="E36" s="25">
        <f t="shared" si="3"/>
        <v>0</v>
      </c>
      <c r="F36" s="100">
        <f t="shared" si="4"/>
        <v>0</v>
      </c>
      <c r="G36" s="98">
        <f t="shared" si="5"/>
        <v>117</v>
      </c>
      <c r="H36" s="25">
        <f t="shared" si="6"/>
        <v>2.6315789473684209E-2</v>
      </c>
      <c r="I36" s="99">
        <f t="shared" si="7"/>
        <v>3947.3684210526312</v>
      </c>
      <c r="J36" s="24">
        <f t="shared" si="8"/>
        <v>119</v>
      </c>
      <c r="K36" s="25">
        <f t="shared" si="9"/>
        <v>4.3859649122807015E-2</v>
      </c>
      <c r="L36" s="100">
        <f t="shared" si="10"/>
        <v>6578.9473684210525</v>
      </c>
      <c r="M36" s="98">
        <f t="shared" si="11"/>
        <v>128</v>
      </c>
      <c r="N36" s="25">
        <f t="shared" si="12"/>
        <v>0.12280701754385964</v>
      </c>
      <c r="O36" s="100">
        <f t="shared" si="13"/>
        <v>18421.052631578947</v>
      </c>
      <c r="Q36" s="300"/>
      <c r="R36" s="301"/>
      <c r="S36" s="302"/>
    </row>
    <row r="37" spans="1:19" ht="17.25" customHeight="1" thickBot="1">
      <c r="A37" s="131" t="s">
        <v>42</v>
      </c>
      <c r="B37" s="183">
        <v>150000</v>
      </c>
      <c r="C37" s="184"/>
      <c r="D37" s="26" t="s">
        <v>43</v>
      </c>
      <c r="E37" s="27">
        <f>IF(COUNT(E17:E36), SUM(E17:E36) / COUNT(E17:E36), 0)</f>
        <v>1.4398482703269253E-2</v>
      </c>
      <c r="F37" s="28">
        <f>SUM(F17:F36)</f>
        <v>43195.448109807767</v>
      </c>
      <c r="G37" s="26" t="s">
        <v>43</v>
      </c>
      <c r="H37" s="27">
        <f>IF(COUNT(H17:H36), SUM(H17:H36) / COUNT(H17:H36), 0)</f>
        <v>2.5395054935450044E-2</v>
      </c>
      <c r="I37" s="28">
        <f>SUM(I17:I36)</f>
        <v>76185.164806350134</v>
      </c>
      <c r="J37" s="26" t="s">
        <v>43</v>
      </c>
      <c r="K37" s="27">
        <f>IF(COUNT(K17:K36), SUM(K17:K36) / COUNT(K17:K36), 0)</f>
        <v>1.5123368632140022E-2</v>
      </c>
      <c r="L37" s="28">
        <f>SUM(L17:L36)</f>
        <v>45370.105896420064</v>
      </c>
      <c r="M37" s="26" t="s">
        <v>43</v>
      </c>
      <c r="N37" s="27">
        <f>IF(COUNT(N17:N36), SUM(N17:N36) / COUNT(N17:N36), 0)</f>
        <v>7.3865605248232382E-3</v>
      </c>
      <c r="O37" s="28">
        <f>SUM(O17:O36)</f>
        <v>22159.68157446972</v>
      </c>
      <c r="Q37" s="303"/>
      <c r="R37" s="304"/>
      <c r="S37" s="305"/>
    </row>
    <row r="38" spans="1:19" ht="17.25" customHeight="1"/>
    <row r="39" spans="1:19" ht="17.25" customHeight="1" thickBot="1"/>
    <row r="40" spans="1:19" ht="17.25" customHeight="1" thickBot="1">
      <c r="A40" s="249" t="s">
        <v>44</v>
      </c>
      <c r="B40" s="250"/>
      <c r="C40" s="250"/>
      <c r="D40" s="250"/>
      <c r="E40" s="250"/>
      <c r="F40" s="250"/>
      <c r="G40" s="250"/>
      <c r="H40" s="250"/>
      <c r="I40" s="250"/>
      <c r="J40" s="250"/>
      <c r="K40" s="250"/>
      <c r="L40" s="250"/>
      <c r="M40" s="250"/>
      <c r="N40" s="250"/>
      <c r="O40" s="251"/>
      <c r="Q40" s="270"/>
      <c r="R40" s="270"/>
      <c r="S40" s="270"/>
    </row>
    <row r="41" spans="1:19" ht="17.25" customHeight="1" thickBot="1">
      <c r="A41" s="175" t="s">
        <v>298</v>
      </c>
      <c r="B41" s="249" t="s">
        <v>49</v>
      </c>
      <c r="C41" s="251"/>
      <c r="D41" s="249" t="s">
        <v>58</v>
      </c>
      <c r="E41" s="250"/>
      <c r="F41" s="251"/>
      <c r="G41" s="276">
        <f>_xlfn.IFNA(VLOOKUP(B41, 현재가테이블!$B$2:$D$200, 2, FALSE), "-")</f>
        <v>60874000</v>
      </c>
      <c r="H41" s="277"/>
      <c r="I41" s="278"/>
      <c r="J41" s="249" t="s">
        <v>59</v>
      </c>
      <c r="K41" s="250"/>
      <c r="L41" s="251"/>
      <c r="M41" s="279">
        <f>_xlfn.IFNA(VLOOKUP(B41, 현재가테이블!$B$2:$D$200, 3, FALSE), "-")</f>
        <v>-1.4936000099999999E-2</v>
      </c>
      <c r="N41" s="280"/>
      <c r="O41" s="281"/>
      <c r="Q41" s="270"/>
      <c r="R41" s="270"/>
      <c r="S41" s="270"/>
    </row>
    <row r="42" spans="1:19" ht="17.25" customHeight="1" thickBot="1">
      <c r="A42" s="310" t="s">
        <v>55</v>
      </c>
      <c r="B42" s="312" t="str">
        <f>TEXT($G$1, "[$-ko-KR]yyyy-mm-dd(ddd) ") &amp; "오전 00:00"</f>
        <v>2021-05-10(월) 오전 00:00</v>
      </c>
      <c r="C42" s="313"/>
      <c r="D42" s="272" t="str">
        <f>TEXT($G$1, "[$-ko-KR]yyyy-mm-dd(ddd) ") &amp; "오후 14:00"</f>
        <v>2021-05-10(월) 오후 14:00</v>
      </c>
      <c r="E42" s="273"/>
      <c r="F42" s="274"/>
      <c r="G42" s="272" t="str">
        <f>TEXT($G$1, "[$-ko-KR]yyyy-mm-dd(ddd) ") &amp; "오후 19:00"</f>
        <v>2021-05-10(월) 오후 19:00</v>
      </c>
      <c r="H42" s="273"/>
      <c r="I42" s="274"/>
      <c r="J42" s="272" t="str">
        <f>TEXT($G$1, "[$-ko-KR]yyyy-mm-dd(ddd) ") &amp; "오후 21:00"</f>
        <v>2021-05-10(월) 오후 21:00</v>
      </c>
      <c r="K42" s="273"/>
      <c r="L42" s="274"/>
      <c r="M42" s="272" t="str">
        <f>TEXT($G$1+1, "[$-ko-KR]yyyy-mm-dd(ddd) ") &amp; "오전 00:00"</f>
        <v>2021-05-11(화) 오전 00:00</v>
      </c>
      <c r="N42" s="273"/>
      <c r="O42" s="274"/>
      <c r="Q42" s="270"/>
      <c r="R42" s="270"/>
      <c r="S42" s="270"/>
    </row>
    <row r="43" spans="1:19" ht="17.25" customHeight="1" thickBot="1">
      <c r="A43" s="311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76" t="s">
        <v>58</v>
      </c>
      <c r="H43" s="177" t="s">
        <v>299</v>
      </c>
      <c r="I43" s="178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75"/>
      <c r="R43" s="275"/>
      <c r="S43" s="275"/>
    </row>
    <row r="44" spans="1:19" ht="17.25" customHeight="1" thickBot="1">
      <c r="A44" s="122" t="s">
        <v>65</v>
      </c>
      <c r="B44" s="123">
        <v>78</v>
      </c>
      <c r="C44" s="72">
        <v>-7.6335878000000001E-3</v>
      </c>
      <c r="D44" s="13">
        <v>77.599999999999994</v>
      </c>
      <c r="E44" s="14">
        <f>IF(ISNUMBER(D44), (D44 - $B44) / $B44, "")</f>
        <v>-5.1282051282052011E-3</v>
      </c>
      <c r="F44" s="16">
        <f>IF(ISNUMBER(D44), $B64 * E44, "")</f>
        <v>-769.2307692307802</v>
      </c>
      <c r="G44" s="29">
        <v>76.8</v>
      </c>
      <c r="H44" s="14">
        <f>IF(ISNUMBER(G44), (G44 - $B44) / $B44, "")</f>
        <v>-1.5384615384615422E-2</v>
      </c>
      <c r="I44" s="96">
        <f>IF(ISNUMBER(G44), $B64 * H44, "")</f>
        <v>-2307.6923076923131</v>
      </c>
      <c r="J44" s="13">
        <v>76.7</v>
      </c>
      <c r="K44" s="14">
        <f>IF(ISNUMBER(J44), (J44 - $B44) / $B44, "")</f>
        <v>-1.6666666666666632E-2</v>
      </c>
      <c r="L44" s="16">
        <f>IF(ISNUMBER(J44), $B64 * K44, "")</f>
        <v>-2499.9999999999945</v>
      </c>
      <c r="M44" s="29">
        <v>76.599999999999994</v>
      </c>
      <c r="N44" s="14">
        <f>IF(ISNUMBER(M44), (M44 - $B44) / $B44, "")</f>
        <v>-1.794871794871802E-2</v>
      </c>
      <c r="O44" s="16">
        <f>IF(ISNUMBER(M44), $B64 * N44, "")</f>
        <v>-2692.3076923077028</v>
      </c>
      <c r="Q44" s="270"/>
      <c r="R44" s="270"/>
      <c r="S44" s="270"/>
    </row>
    <row r="45" spans="1:19" ht="17.25" customHeight="1" thickBot="1">
      <c r="A45" s="124" t="s">
        <v>154</v>
      </c>
      <c r="B45" s="125">
        <v>20.100000000000001</v>
      </c>
      <c r="C45" s="73">
        <v>-2.42718447E-2</v>
      </c>
      <c r="D45" s="15">
        <v>20.3</v>
      </c>
      <c r="E45" s="32">
        <f t="shared" ref="E45:E48" si="14">IF(ISNUMBER(D45), (D45 - $B45) / $B45, "")</f>
        <v>9.9502487562188689E-3</v>
      </c>
      <c r="F45" s="18">
        <f>IF(ISNUMBER(D45), $B64 * E45, "")</f>
        <v>1492.5373134328304</v>
      </c>
      <c r="G45" s="31">
        <v>20.3</v>
      </c>
      <c r="H45" s="32">
        <f t="shared" ref="H45:H48" si="15">IF(ISNUMBER(G45), (G45 - $B45) / $B45, "")</f>
        <v>9.9502487562188689E-3</v>
      </c>
      <c r="I45" s="97">
        <f>IF(ISNUMBER(G45), $B64 * H45, "")</f>
        <v>1492.5373134328304</v>
      </c>
      <c r="J45" s="15">
        <v>20.2</v>
      </c>
      <c r="K45" s="32">
        <f t="shared" ref="K45:K48" si="16">IF(ISNUMBER(J45), (J45 - $B45) / $B45, "")</f>
        <v>4.975124378109346E-3</v>
      </c>
      <c r="L45" s="18">
        <f>IF(ISNUMBER(J45), $B64 * K45, "")</f>
        <v>746.26865671640189</v>
      </c>
      <c r="M45" s="31">
        <v>20.100000000000001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70"/>
      <c r="R45" s="270"/>
      <c r="S45" s="270"/>
    </row>
    <row r="46" spans="1:19" ht="17.25" customHeight="1" thickBot="1">
      <c r="A46" s="124" t="s">
        <v>220</v>
      </c>
      <c r="B46" s="125">
        <v>19.7</v>
      </c>
      <c r="C46" s="73">
        <v>-2.9556650199999999E-2</v>
      </c>
      <c r="D46" s="15">
        <v>19.8</v>
      </c>
      <c r="E46" s="32">
        <f t="shared" si="14"/>
        <v>5.0761421319797679E-3</v>
      </c>
      <c r="F46" s="18">
        <f>IF(ISNUMBER(D46), $B64 * E46, "")</f>
        <v>761.42131979696524</v>
      </c>
      <c r="G46" s="31">
        <v>19.8</v>
      </c>
      <c r="H46" s="32">
        <f t="shared" si="15"/>
        <v>5.0761421319797679E-3</v>
      </c>
      <c r="I46" s="97">
        <f>IF(ISNUMBER(G46), $B64 * H46, "")</f>
        <v>761.42131979696524</v>
      </c>
      <c r="J46" s="15">
        <v>19.7</v>
      </c>
      <c r="K46" s="32">
        <f t="shared" si="16"/>
        <v>0</v>
      </c>
      <c r="L46" s="18">
        <f>IF(ISNUMBER(J46), $B64 * K46, "")</f>
        <v>0</v>
      </c>
      <c r="M46" s="31">
        <v>19.5</v>
      </c>
      <c r="N46" s="32">
        <f t="shared" si="17"/>
        <v>-1.0152284263959355E-2</v>
      </c>
      <c r="O46" s="18">
        <f>IF(ISNUMBER(M46), $B64 * N46, "")</f>
        <v>-1522.8426395939034</v>
      </c>
      <c r="Q46" s="275"/>
      <c r="R46" s="275"/>
      <c r="S46" s="275"/>
    </row>
    <row r="47" spans="1:19" ht="17.25" customHeight="1" thickBot="1">
      <c r="A47" s="124" t="s">
        <v>126</v>
      </c>
      <c r="B47" s="125">
        <v>58.7</v>
      </c>
      <c r="C47" s="73">
        <v>-2.9752066099999998E-2</v>
      </c>
      <c r="D47" s="15">
        <v>58.6</v>
      </c>
      <c r="E47" s="32">
        <f t="shared" si="14"/>
        <v>-1.7035775127768554E-3</v>
      </c>
      <c r="F47" s="18">
        <f>IF(ISNUMBER(D47), $B64 * E47, "")</f>
        <v>-255.53662691652832</v>
      </c>
      <c r="G47" s="31">
        <v>58.9</v>
      </c>
      <c r="H47" s="32">
        <f t="shared" si="15"/>
        <v>3.4071550255535899E-3</v>
      </c>
      <c r="I47" s="97">
        <f>IF(ISNUMBER(G47), $B64 * H47, "")</f>
        <v>511.07325383303851</v>
      </c>
      <c r="J47" s="15">
        <v>58.2</v>
      </c>
      <c r="K47" s="32">
        <f t="shared" si="16"/>
        <v>-8.5178875638841564E-3</v>
      </c>
      <c r="L47" s="18">
        <f>IF(ISNUMBER(J47), $B64 * K47, "")</f>
        <v>-1277.6831345826236</v>
      </c>
      <c r="M47" s="31">
        <v>57.7</v>
      </c>
      <c r="N47" s="32">
        <f t="shared" si="17"/>
        <v>-1.7035775127768313E-2</v>
      </c>
      <c r="O47" s="18">
        <f>IF(ISNUMBER(M47), $B64 * N47, "")</f>
        <v>-2555.3662691652471</v>
      </c>
      <c r="Q47" s="275"/>
      <c r="R47" s="275"/>
      <c r="S47" s="275"/>
    </row>
    <row r="48" spans="1:19" ht="17.25" customHeight="1" thickBot="1">
      <c r="A48" s="126" t="s">
        <v>266</v>
      </c>
      <c r="B48" s="127">
        <v>89.9</v>
      </c>
      <c r="C48" s="74">
        <v>-3.2292787900000001E-2</v>
      </c>
      <c r="D48" s="20">
        <v>91.6</v>
      </c>
      <c r="E48" s="21">
        <f t="shared" si="14"/>
        <v>1.8909899888765166E-2</v>
      </c>
      <c r="F48" s="22">
        <f>IF(ISNUMBER(D48), $B64 * E48, "")</f>
        <v>2836.484983314775</v>
      </c>
      <c r="G48" s="30">
        <v>91.5</v>
      </c>
      <c r="H48" s="21">
        <f t="shared" si="15"/>
        <v>1.7797552836484917E-2</v>
      </c>
      <c r="I48" s="101">
        <f>IF(ISNUMBER(G48), $B64 * H48, "")</f>
        <v>2669.6329254727375</v>
      </c>
      <c r="J48" s="20">
        <v>91.3</v>
      </c>
      <c r="K48" s="21">
        <f t="shared" si="16"/>
        <v>1.5572858731924264E-2</v>
      </c>
      <c r="L48" s="22">
        <f>IF(ISNUMBER(J48), $B64 * K48, "")</f>
        <v>2335.9288097886397</v>
      </c>
      <c r="M48" s="30">
        <v>90.8</v>
      </c>
      <c r="N48" s="21">
        <f t="shared" si="17"/>
        <v>1.0011123470522708E-2</v>
      </c>
      <c r="O48" s="22">
        <f>IF(ISNUMBER(M48), $B64 * N48, "")</f>
        <v>1501.6685205784063</v>
      </c>
      <c r="Q48" s="275"/>
      <c r="R48" s="275"/>
      <c r="S48" s="275"/>
    </row>
    <row r="49" spans="1:19" ht="17.25" customHeight="1" thickBot="1">
      <c r="A49" s="124" t="s">
        <v>152</v>
      </c>
      <c r="B49" s="128">
        <v>47.4</v>
      </c>
      <c r="C49" s="76">
        <v>-3.8539553800000001E-2</v>
      </c>
      <c r="D49" s="102">
        <v>47.9</v>
      </c>
      <c r="E49" s="103">
        <f>IF(ISNUMBER(D49), (D49 - $B49) / $B49, "")</f>
        <v>1.0548523206751054E-2</v>
      </c>
      <c r="F49" s="104">
        <f>IF(ISNUMBER(D49), $B64 * E49, "")</f>
        <v>1582.2784810126582</v>
      </c>
      <c r="G49" s="105">
        <v>47.7</v>
      </c>
      <c r="H49" s="103">
        <f>IF(ISNUMBER(G49), (G49 - $B49) / $B49, "")</f>
        <v>6.329113924050723E-3</v>
      </c>
      <c r="I49" s="106">
        <f>IF(ISNUMBER(G49), $B64 * H49, "")</f>
        <v>949.36708860760848</v>
      </c>
      <c r="J49" s="102">
        <v>47.4</v>
      </c>
      <c r="K49" s="103">
        <f>IF(ISNUMBER(J49), (J49 - $B49) / $B49, "")</f>
        <v>0</v>
      </c>
      <c r="L49" s="104">
        <f>IF(ISNUMBER(J49), $B64 * K49, "")</f>
        <v>0</v>
      </c>
      <c r="M49" s="105">
        <v>46.4</v>
      </c>
      <c r="N49" s="103">
        <f>IF(ISNUMBER(M49), (M49 - $B49) / $B49, "")</f>
        <v>-2.1097046413502109E-2</v>
      </c>
      <c r="O49" s="104">
        <f>IF(ISNUMBER(M49), $B64 * N49, "")</f>
        <v>-3164.5569620253164</v>
      </c>
      <c r="Q49" s="275"/>
      <c r="R49" s="275"/>
      <c r="S49" s="275"/>
    </row>
    <row r="50" spans="1:19" ht="17.25" customHeight="1" thickBot="1">
      <c r="A50" s="124" t="s">
        <v>186</v>
      </c>
      <c r="B50" s="125">
        <v>23.6</v>
      </c>
      <c r="C50" s="73">
        <v>-4.06504065E-2</v>
      </c>
      <c r="D50" s="15">
        <v>24</v>
      </c>
      <c r="E50" s="32">
        <f t="shared" ref="E50:E53" si="18">IF(ISNUMBER(D50), (D50 - $B50) / $B50, "")</f>
        <v>1.6949152542372819E-2</v>
      </c>
      <c r="F50" s="18">
        <f>IF(ISNUMBER(D50), $B64 * E50, "")</f>
        <v>2542.3728813559228</v>
      </c>
      <c r="G50" s="31">
        <v>24</v>
      </c>
      <c r="H50" s="32">
        <f t="shared" ref="H50:H53" si="19">IF(ISNUMBER(G50), (G50 - $B50) / $B50, "")</f>
        <v>1.6949152542372819E-2</v>
      </c>
      <c r="I50" s="97">
        <f>IF(ISNUMBER(G50), $B64 * H50, "")</f>
        <v>2542.3728813559228</v>
      </c>
      <c r="J50" s="15">
        <v>24</v>
      </c>
      <c r="K50" s="32">
        <f t="shared" ref="K50:K53" si="20">IF(ISNUMBER(J50), (J50 - $B50) / $B50, "")</f>
        <v>1.6949152542372819E-2</v>
      </c>
      <c r="L50" s="18">
        <f>IF(ISNUMBER(J50), $B64 * K50, "")</f>
        <v>2542.3728813559228</v>
      </c>
      <c r="M50" s="31">
        <v>23.8</v>
      </c>
      <c r="N50" s="32">
        <f t="shared" ref="N50:N53" si="21">IF(ISNUMBER(M50), (M50 - $B50) / $B50, "")</f>
        <v>8.4745762711864094E-3</v>
      </c>
      <c r="O50" s="18">
        <f>IF(ISNUMBER(M50), $B64 * N50, "")</f>
        <v>1271.1864406779614</v>
      </c>
      <c r="Q50" s="275"/>
      <c r="R50" s="275"/>
      <c r="S50" s="275"/>
    </row>
    <row r="51" spans="1:19" ht="17.25" customHeight="1" thickBot="1">
      <c r="A51" s="124" t="s">
        <v>268</v>
      </c>
      <c r="B51" s="125">
        <v>87.9</v>
      </c>
      <c r="C51" s="73">
        <v>-4.2483660100000001E-2</v>
      </c>
      <c r="D51" s="15">
        <v>88.1</v>
      </c>
      <c r="E51" s="32">
        <f t="shared" si="18"/>
        <v>2.2753128555175043E-3</v>
      </c>
      <c r="F51" s="18">
        <f>IF(ISNUMBER(D51), $B64 * E51, "")</f>
        <v>341.29692832762566</v>
      </c>
      <c r="G51" s="31">
        <v>88.1</v>
      </c>
      <c r="H51" s="32">
        <f t="shared" si="19"/>
        <v>2.2753128555175043E-3</v>
      </c>
      <c r="I51" s="97">
        <f>IF(ISNUMBER(G51), $B64 * H51, "")</f>
        <v>341.29692832762566</v>
      </c>
      <c r="J51" s="15">
        <v>89</v>
      </c>
      <c r="K51" s="32">
        <f t="shared" si="20"/>
        <v>1.2514220705346919E-2</v>
      </c>
      <c r="L51" s="18">
        <f>IF(ISNUMBER(J51), $B64 * K51, "")</f>
        <v>1877.1331058020378</v>
      </c>
      <c r="M51" s="31">
        <v>87</v>
      </c>
      <c r="N51" s="32">
        <f t="shared" si="21"/>
        <v>-1.0238907849829415E-2</v>
      </c>
      <c r="O51" s="18">
        <f>IF(ISNUMBER(M51), $B64 * N51, "")</f>
        <v>-1535.8361774744124</v>
      </c>
      <c r="Q51" s="275"/>
      <c r="R51" s="275"/>
      <c r="S51" s="275"/>
    </row>
    <row r="52" spans="1:19" ht="17.25" customHeight="1" thickBot="1">
      <c r="A52" s="124" t="s">
        <v>222</v>
      </c>
      <c r="B52" s="125">
        <v>17.600000000000001</v>
      </c>
      <c r="C52" s="73">
        <v>-4.3478260900000003E-2</v>
      </c>
      <c r="D52" s="15">
        <v>17.7</v>
      </c>
      <c r="E52" s="32">
        <f t="shared" si="18"/>
        <v>5.6818181818180605E-3</v>
      </c>
      <c r="F52" s="18">
        <f>IF(ISNUMBER(D52), $B64 * E52, "")</f>
        <v>852.27272727270906</v>
      </c>
      <c r="G52" s="31">
        <v>18.100000000000001</v>
      </c>
      <c r="H52" s="32">
        <f t="shared" si="19"/>
        <v>2.8409090909090908E-2</v>
      </c>
      <c r="I52" s="97">
        <f>IF(ISNUMBER(G52), $B64 * H52, "")</f>
        <v>4261.363636363636</v>
      </c>
      <c r="J52" s="15">
        <v>18.2</v>
      </c>
      <c r="K52" s="32">
        <f t="shared" si="20"/>
        <v>3.409090909090897E-2</v>
      </c>
      <c r="L52" s="18">
        <f>IF(ISNUMBER(J52), $B64 * K52, "")</f>
        <v>5113.6363636363458</v>
      </c>
      <c r="M52" s="31">
        <v>17.899999999999999</v>
      </c>
      <c r="N52" s="32">
        <f t="shared" si="21"/>
        <v>1.7045454545454381E-2</v>
      </c>
      <c r="O52" s="18">
        <f>IF(ISNUMBER(M52), $B64 * N52, "")</f>
        <v>2556.818181818157</v>
      </c>
      <c r="Q52" s="33"/>
      <c r="R52" s="33"/>
    </row>
    <row r="53" spans="1:19" ht="17.25" customHeight="1" thickBot="1">
      <c r="A53" s="129" t="s">
        <v>228</v>
      </c>
      <c r="B53" s="130">
        <v>17.3</v>
      </c>
      <c r="C53" s="75">
        <v>-4.4198895000000002E-2</v>
      </c>
      <c r="D53" s="24">
        <v>17.8</v>
      </c>
      <c r="E53" s="25">
        <f t="shared" si="18"/>
        <v>2.8901734104046242E-2</v>
      </c>
      <c r="F53" s="100">
        <f>IF(ISNUMBER(D53), $B64 * E53, "")</f>
        <v>4335.2601156069368</v>
      </c>
      <c r="G53" s="98">
        <v>18.600000000000001</v>
      </c>
      <c r="H53" s="25">
        <f t="shared" si="19"/>
        <v>7.5144508670520263E-2</v>
      </c>
      <c r="I53" s="99">
        <f>IF(ISNUMBER(G53), $B64 * H53, "")</f>
        <v>11271.676300578039</v>
      </c>
      <c r="J53" s="24">
        <v>18.399999999999999</v>
      </c>
      <c r="K53" s="25">
        <f t="shared" si="20"/>
        <v>6.3583815028901605E-2</v>
      </c>
      <c r="L53" s="100">
        <f>IF(ISNUMBER(J53), $B64 * K53, "")</f>
        <v>9537.5722543352404</v>
      </c>
      <c r="M53" s="98">
        <v>18.2</v>
      </c>
      <c r="N53" s="25">
        <f t="shared" si="21"/>
        <v>5.2023121387283155E-2</v>
      </c>
      <c r="O53" s="100">
        <f>IF(ISNUMBER(M53), $B64 * N53, "")</f>
        <v>7803.4682080924731</v>
      </c>
      <c r="Q53" s="284"/>
      <c r="R53" s="285"/>
      <c r="S53" s="286"/>
    </row>
    <row r="54" spans="1:19" ht="17.25" customHeight="1">
      <c r="A54" s="122" t="s">
        <v>196</v>
      </c>
      <c r="B54" s="123">
        <v>19.2</v>
      </c>
      <c r="C54" s="72">
        <v>-4.4776119400000002E-2</v>
      </c>
      <c r="D54" s="13">
        <v>19.2</v>
      </c>
      <c r="E54" s="14">
        <f>IF(ISNUMBER(D54), (D54 - $B54) / $B54, "")</f>
        <v>0</v>
      </c>
      <c r="F54" s="16">
        <f>IF(ISNUMBER(D54), $B64 * E54, "")</f>
        <v>0</v>
      </c>
      <c r="G54" s="29">
        <v>19.399999999999999</v>
      </c>
      <c r="H54" s="14">
        <f>IF(ISNUMBER(G54), (G54 - $B54) / $B54, "")</f>
        <v>1.041666666666663E-2</v>
      </c>
      <c r="I54" s="96">
        <f>IF(ISNUMBER(G54), $B64 * H54, "")</f>
        <v>1562.4999999999945</v>
      </c>
      <c r="J54" s="13">
        <v>19.2</v>
      </c>
      <c r="K54" s="14">
        <f>IF(ISNUMBER(J54), (J54 - $B54) / $B54, "")</f>
        <v>0</v>
      </c>
      <c r="L54" s="16">
        <f>IF(ISNUMBER(J54), $B64 * K54, "")</f>
        <v>0</v>
      </c>
      <c r="M54" s="29">
        <v>19.2</v>
      </c>
      <c r="N54" s="14">
        <f>IF(ISNUMBER(M54), (M54 - $B54) / $B54, "")</f>
        <v>0</v>
      </c>
      <c r="O54" s="16">
        <f>IF(ISNUMBER(M54), $B64 * N54, "")</f>
        <v>0</v>
      </c>
      <c r="Q54" s="287"/>
      <c r="R54" s="288"/>
      <c r="S54" s="289"/>
    </row>
    <row r="55" spans="1:19" ht="17.25" customHeight="1" thickBot="1">
      <c r="A55" s="124" t="s">
        <v>100</v>
      </c>
      <c r="B55" s="125">
        <v>8.7200000000000006</v>
      </c>
      <c r="C55" s="73">
        <v>-4.4906900299999997E-2</v>
      </c>
      <c r="D55" s="15">
        <v>8.81</v>
      </c>
      <c r="E55" s="32">
        <f t="shared" ref="E55:E58" si="22">IF(ISNUMBER(D55), (D55 - $B55) / $B55, "")</f>
        <v>1.0321100917431176E-2</v>
      </c>
      <c r="F55" s="18">
        <f>IF(ISNUMBER(D55), $B64 * E55, "")</f>
        <v>1548.1651376146765</v>
      </c>
      <c r="G55" s="31">
        <v>8.73</v>
      </c>
      <c r="H55" s="32">
        <f t="shared" ref="H55:H58" si="23">IF(ISNUMBER(G55), (G55 - $B55) / $B55, "")</f>
        <v>1.1467889908256636E-3</v>
      </c>
      <c r="I55" s="97">
        <f>IF(ISNUMBER(G55), $B64 * H55, "")</f>
        <v>172.01834862384953</v>
      </c>
      <c r="J55" s="15">
        <v>8.76</v>
      </c>
      <c r="K55" s="32">
        <f t="shared" ref="K55:K58" si="24">IF(ISNUMBER(J55), (J55 - $B55) / $B55, "")</f>
        <v>4.5871559633026545E-3</v>
      </c>
      <c r="L55" s="18">
        <f>IF(ISNUMBER(J55), $B64 * K55, "")</f>
        <v>688.07339449539813</v>
      </c>
      <c r="M55" s="31">
        <v>8.66</v>
      </c>
      <c r="N55" s="32">
        <f t="shared" ref="N55:N58" si="25">IF(ISNUMBER(M55), (M55 - $B55) / $B55, "")</f>
        <v>-6.8807339449541852E-3</v>
      </c>
      <c r="O55" s="18">
        <f>IF(ISNUMBER(M55), $B64 * N55, "")</f>
        <v>-1032.1100917431277</v>
      </c>
      <c r="Q55" s="290"/>
      <c r="R55" s="291"/>
      <c r="S55" s="292"/>
    </row>
    <row r="56" spans="1:19" ht="17.25" customHeight="1" thickBot="1">
      <c r="A56" s="124" t="s">
        <v>254</v>
      </c>
      <c r="B56" s="125">
        <v>80.3</v>
      </c>
      <c r="C56" s="73">
        <v>-4.51843044E-2</v>
      </c>
      <c r="D56" s="15">
        <v>79.900000000000006</v>
      </c>
      <c r="E56" s="32">
        <f t="shared" si="22"/>
        <v>-4.9813200498130946E-3</v>
      </c>
      <c r="F56" s="18">
        <f>IF(ISNUMBER(D56), $B64 * E56, "")</f>
        <v>-747.19800747196416</v>
      </c>
      <c r="G56" s="31">
        <v>80</v>
      </c>
      <c r="H56" s="32">
        <f t="shared" si="23"/>
        <v>-3.735990037359865E-3</v>
      </c>
      <c r="I56" s="97">
        <f>IF(ISNUMBER(G56), $B64 * H56, "")</f>
        <v>-560.39850560397974</v>
      </c>
      <c r="J56" s="15">
        <v>80.2</v>
      </c>
      <c r="K56" s="32">
        <f t="shared" si="24"/>
        <v>-1.2453300124532294E-3</v>
      </c>
      <c r="L56" s="18">
        <f>IF(ISNUMBER(J56), $B64 * K56, "")</f>
        <v>-186.79950186798442</v>
      </c>
      <c r="M56" s="31">
        <v>79.7</v>
      </c>
      <c r="N56" s="32">
        <f t="shared" si="25"/>
        <v>-7.47198007471973E-3</v>
      </c>
      <c r="O56" s="18">
        <f>IF(ISNUMBER(M56), $B64 * N56, "")</f>
        <v>-1120.7970112079595</v>
      </c>
      <c r="Q56" s="275"/>
      <c r="R56" s="275"/>
      <c r="S56" s="275"/>
    </row>
    <row r="57" spans="1:19" ht="17.25" customHeight="1" thickBot="1">
      <c r="A57" s="124" t="s">
        <v>236</v>
      </c>
      <c r="B57" s="125">
        <v>64</v>
      </c>
      <c r="C57" s="73">
        <v>-4.6199701900000001E-2</v>
      </c>
      <c r="D57" s="15">
        <v>63.9</v>
      </c>
      <c r="E57" s="32">
        <f t="shared" si="22"/>
        <v>-1.5625000000000222E-3</v>
      </c>
      <c r="F57" s="18">
        <f>IF(ISNUMBER(D57), $B64 * E57, "")</f>
        <v>-234.37500000000333</v>
      </c>
      <c r="G57" s="31">
        <v>64</v>
      </c>
      <c r="H57" s="32">
        <f t="shared" si="23"/>
        <v>0</v>
      </c>
      <c r="I57" s="97">
        <f>IF(ISNUMBER(G57), $B64 * H57, "")</f>
        <v>0</v>
      </c>
      <c r="J57" s="15">
        <v>64.3</v>
      </c>
      <c r="K57" s="32">
        <f t="shared" si="24"/>
        <v>4.6874999999999556E-3</v>
      </c>
      <c r="L57" s="18">
        <f>IF(ISNUMBER(J57), $B64 * K57, "")</f>
        <v>703.12499999999329</v>
      </c>
      <c r="M57" s="31">
        <v>63.5</v>
      </c>
      <c r="N57" s="32">
        <f t="shared" si="25"/>
        <v>-7.8125E-3</v>
      </c>
      <c r="O57" s="18">
        <f>IF(ISNUMBER(M57), $B64 * N57, "")</f>
        <v>-1171.875</v>
      </c>
      <c r="Q57" s="270"/>
      <c r="R57" s="270"/>
      <c r="S57" s="270"/>
    </row>
    <row r="58" spans="1:19" ht="17.25" customHeight="1" thickBot="1">
      <c r="A58" s="126" t="s">
        <v>172</v>
      </c>
      <c r="B58" s="127">
        <v>23.1</v>
      </c>
      <c r="C58" s="74">
        <v>-4.9382716E-2</v>
      </c>
      <c r="D58" s="20">
        <v>23</v>
      </c>
      <c r="E58" s="21">
        <f t="shared" si="22"/>
        <v>-4.3290043290043906E-3</v>
      </c>
      <c r="F58" s="22">
        <f>IF(ISNUMBER(D58), $B64 * E58, "")</f>
        <v>-649.35064935065861</v>
      </c>
      <c r="G58" s="30">
        <v>23.2</v>
      </c>
      <c r="H58" s="21">
        <f t="shared" si="23"/>
        <v>4.3290043290042362E-3</v>
      </c>
      <c r="I58" s="101">
        <f>IF(ISNUMBER(G58), $B64 * H58, "")</f>
        <v>649.35064935063542</v>
      </c>
      <c r="J58" s="20">
        <v>24</v>
      </c>
      <c r="K58" s="21">
        <f t="shared" si="24"/>
        <v>3.8961038961038898E-2</v>
      </c>
      <c r="L58" s="22">
        <f>IF(ISNUMBER(J58), $B64 * K58, "")</f>
        <v>5844.1558441558345</v>
      </c>
      <c r="M58" s="30">
        <v>23.4</v>
      </c>
      <c r="N58" s="21">
        <f t="shared" si="25"/>
        <v>1.2987012987012863E-2</v>
      </c>
      <c r="O58" s="22">
        <f>IF(ISNUMBER(M58), $B64 * N58, "")</f>
        <v>1948.0519480519295</v>
      </c>
      <c r="Q58" s="270"/>
      <c r="R58" s="270"/>
      <c r="S58" s="270"/>
    </row>
    <row r="59" spans="1:19" ht="17.25" customHeight="1" thickBot="1">
      <c r="A59" s="124" t="s">
        <v>218</v>
      </c>
      <c r="B59" s="128">
        <v>26.4</v>
      </c>
      <c r="C59" s="76">
        <v>-5.0359712199999997E-2</v>
      </c>
      <c r="D59" s="102">
        <v>26.4</v>
      </c>
      <c r="E59" s="103">
        <f>IF(ISNUMBER(D59), (D59 - $B59) / $B59, "")</f>
        <v>0</v>
      </c>
      <c r="F59" s="104">
        <f>IF(ISNUMBER(D59), $B64 * E59, "")</f>
        <v>0</v>
      </c>
      <c r="G59" s="105">
        <v>26.4</v>
      </c>
      <c r="H59" s="103">
        <f>IF(ISNUMBER(G59), (G59 - $B59) / $B59, "")</f>
        <v>0</v>
      </c>
      <c r="I59" s="106">
        <f>IF(ISNUMBER(G59), $B64 * H59, "")</f>
        <v>0</v>
      </c>
      <c r="J59" s="102">
        <v>26.6</v>
      </c>
      <c r="K59" s="103">
        <f>IF(ISNUMBER(J59), (J59 - $B59) / $B59, "")</f>
        <v>7.5757575757576835E-3</v>
      </c>
      <c r="L59" s="104">
        <f>IF(ISNUMBER(J59), $B64 * K59, "")</f>
        <v>1136.3636363636526</v>
      </c>
      <c r="M59" s="105">
        <v>26.5</v>
      </c>
      <c r="N59" s="103">
        <f>IF(ISNUMBER(M59), (M59 - $B59) / $B59, "")</f>
        <v>3.7878787878788418E-3</v>
      </c>
      <c r="O59" s="104">
        <f>IF(ISNUMBER(M59), $B64 * N59, "")</f>
        <v>568.18181818182632</v>
      </c>
      <c r="Q59" s="275"/>
      <c r="R59" s="275"/>
      <c r="S59" s="275"/>
    </row>
    <row r="60" spans="1:19" ht="17.25" customHeight="1" thickBot="1">
      <c r="A60" s="124" t="s">
        <v>198</v>
      </c>
      <c r="B60" s="125">
        <v>26.3</v>
      </c>
      <c r="C60" s="73">
        <v>-5.0541516199999997E-2</v>
      </c>
      <c r="D60" s="15">
        <v>26.6</v>
      </c>
      <c r="E60" s="32">
        <f t="shared" ref="E60:E63" si="26">IF(ISNUMBER(D60), (D60 - $B60) / $B60, "")</f>
        <v>1.1406844106463905E-2</v>
      </c>
      <c r="F60" s="18">
        <f>IF(ISNUMBER(D60), $B64 * E60, "")</f>
        <v>1711.0266159695857</v>
      </c>
      <c r="G60" s="31">
        <v>26.8</v>
      </c>
      <c r="H60" s="32">
        <f t="shared" ref="H60:H63" si="27">IF(ISNUMBER(G60), (G60 - $B60) / $B60, "")</f>
        <v>1.9011406844106463E-2</v>
      </c>
      <c r="I60" s="97">
        <f>IF(ISNUMBER(G60), $B64 * H60, "")</f>
        <v>2851.7110266159693</v>
      </c>
      <c r="J60" s="15">
        <v>26.6</v>
      </c>
      <c r="K60" s="32">
        <f t="shared" ref="K60:K63" si="28">IF(ISNUMBER(J60), (J60 - $B60) / $B60, "")</f>
        <v>1.1406844106463905E-2</v>
      </c>
      <c r="L60" s="18">
        <f>IF(ISNUMBER(J60), $B64 * K60, "")</f>
        <v>1711.0266159695857</v>
      </c>
      <c r="M60" s="31">
        <v>26.3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275"/>
      <c r="R60" s="275"/>
      <c r="S60" s="275"/>
    </row>
    <row r="61" spans="1:19" ht="17.25" customHeight="1" thickBot="1">
      <c r="A61" s="124" t="s">
        <v>214</v>
      </c>
      <c r="B61" s="125">
        <v>20.5</v>
      </c>
      <c r="C61" s="73">
        <v>-5.0925925900000002E-2</v>
      </c>
      <c r="D61" s="15">
        <v>20.399999999999999</v>
      </c>
      <c r="E61" s="32">
        <f t="shared" si="26"/>
        <v>-4.8780487804878743E-3</v>
      </c>
      <c r="F61" s="18">
        <f>IF(ISNUMBER(D61), $B64 * E61, "")</f>
        <v>-731.70731707318112</v>
      </c>
      <c r="G61" s="31">
        <v>20.5</v>
      </c>
      <c r="H61" s="32">
        <f t="shared" si="27"/>
        <v>0</v>
      </c>
      <c r="I61" s="97">
        <f>IF(ISNUMBER(G61), $B64 * H61, "")</f>
        <v>0</v>
      </c>
      <c r="J61" s="15">
        <v>20.5</v>
      </c>
      <c r="K61" s="32">
        <f t="shared" si="28"/>
        <v>0</v>
      </c>
      <c r="L61" s="18">
        <f>IF(ISNUMBER(J61), $B64 * K61, "")</f>
        <v>0</v>
      </c>
      <c r="M61" s="31">
        <v>20.3</v>
      </c>
      <c r="N61" s="32">
        <f t="shared" si="29"/>
        <v>-9.7560975609755751E-3</v>
      </c>
      <c r="O61" s="18">
        <f>IF(ISNUMBER(M61), $B64 * N61, "")</f>
        <v>-1463.4146341463363</v>
      </c>
      <c r="Q61" s="275"/>
      <c r="R61" s="275"/>
      <c r="S61" s="275"/>
    </row>
    <row r="62" spans="1:19" ht="17.25" customHeight="1">
      <c r="A62" s="124" t="s">
        <v>72</v>
      </c>
      <c r="B62" s="125">
        <v>36.6</v>
      </c>
      <c r="C62" s="73">
        <v>-5.18134715E-2</v>
      </c>
      <c r="D62" s="15">
        <v>37.1</v>
      </c>
      <c r="E62" s="32">
        <f t="shared" si="26"/>
        <v>1.3661202185792349E-2</v>
      </c>
      <c r="F62" s="18">
        <f>IF(ISNUMBER(D62), $B64 * E62, "")</f>
        <v>2049.1803278688526</v>
      </c>
      <c r="G62" s="31">
        <v>37.9</v>
      </c>
      <c r="H62" s="32">
        <f t="shared" si="27"/>
        <v>3.5519125683060031E-2</v>
      </c>
      <c r="I62" s="97">
        <f>IF(ISNUMBER(G62), $B64 * H62, "")</f>
        <v>5327.8688524590043</v>
      </c>
      <c r="J62" s="15">
        <v>37.200000000000003</v>
      </c>
      <c r="K62" s="32">
        <f t="shared" si="28"/>
        <v>1.6393442622950859E-2</v>
      </c>
      <c r="L62" s="18">
        <f>IF(ISNUMBER(J62), $B64 * K62, "")</f>
        <v>2459.0163934426287</v>
      </c>
      <c r="M62" s="31">
        <v>36.700000000000003</v>
      </c>
      <c r="N62" s="32">
        <f t="shared" si="29"/>
        <v>2.7322404371585085E-3</v>
      </c>
      <c r="O62" s="18">
        <f>IF(ISNUMBER(M62), $B64 * N62, "")</f>
        <v>409.8360655737763</v>
      </c>
      <c r="Q62" s="297"/>
      <c r="R62" s="298"/>
      <c r="S62" s="299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00"/>
      <c r="R63" s="301"/>
      <c r="S63" s="302"/>
    </row>
    <row r="64" spans="1:19" ht="17.25" customHeight="1" thickBot="1">
      <c r="A64" s="131" t="s">
        <v>301</v>
      </c>
      <c r="B64" s="308">
        <f>$B$37</f>
        <v>150000</v>
      </c>
      <c r="C64" s="309"/>
      <c r="D64" s="26" t="s">
        <v>302</v>
      </c>
      <c r="E64" s="27">
        <f>IF(COUNT(E44:E63), SUM(E44:E63) / COUNT(E44:E63), 0)</f>
        <v>5.8473327935194466E-3</v>
      </c>
      <c r="F64" s="28">
        <f>SUM(F44:F63)</f>
        <v>16664.898461530418</v>
      </c>
      <c r="G64" s="26" t="s">
        <v>302</v>
      </c>
      <c r="H64" s="27">
        <f>IF(COUNT(H44:H63), SUM(H44:H63) / COUNT(H44:H63), 0)</f>
        <v>1.1402140249656689E-2</v>
      </c>
      <c r="I64" s="28">
        <f>SUM(I44:I63)</f>
        <v>32496.099711521561</v>
      </c>
      <c r="J64" s="26" t="s">
        <v>302</v>
      </c>
      <c r="K64" s="27">
        <f>IF(COUNT(K44:K63), SUM(K44:K63) / COUNT(K44:K63), 0)</f>
        <v>1.0782522919161781E-2</v>
      </c>
      <c r="L64" s="28">
        <f>SUM(L44:L63)</f>
        <v>30730.19031961108</v>
      </c>
      <c r="M64" s="26" t="s">
        <v>302</v>
      </c>
      <c r="N64" s="27">
        <f>IF(COUNT(N44:N63), SUM(N44:N63) / COUNT(N44:N63), 0)</f>
        <v>-7.0138699891043936E-5</v>
      </c>
      <c r="O64" s="28">
        <f>SUM(O44:O63)</f>
        <v>-199.89529468947774</v>
      </c>
      <c r="Q64" s="303"/>
      <c r="R64" s="304"/>
      <c r="S64" s="305"/>
    </row>
    <row r="65" spans="1:19" ht="17.25" customHeight="1"/>
    <row r="66" spans="1:19" ht="17.25" customHeight="1" thickBot="1"/>
    <row r="67" spans="1:19" ht="17.25" thickBot="1">
      <c r="A67" s="249" t="s">
        <v>45</v>
      </c>
      <c r="B67" s="250"/>
      <c r="C67" s="250"/>
      <c r="D67" s="250"/>
      <c r="E67" s="250"/>
      <c r="F67" s="250"/>
      <c r="G67" s="250"/>
      <c r="H67" s="250"/>
      <c r="I67" s="250"/>
      <c r="J67" s="250"/>
      <c r="K67" s="250"/>
      <c r="L67" s="250"/>
      <c r="M67" s="250"/>
      <c r="N67" s="250"/>
      <c r="O67" s="251"/>
      <c r="Q67" s="270"/>
      <c r="R67" s="270"/>
      <c r="S67" s="270"/>
    </row>
    <row r="68" spans="1:19" ht="17.25" thickBot="1">
      <c r="A68" s="175" t="s">
        <v>298</v>
      </c>
      <c r="B68" s="249" t="s">
        <v>49</v>
      </c>
      <c r="C68" s="251"/>
      <c r="D68" s="249" t="s">
        <v>58</v>
      </c>
      <c r="E68" s="250"/>
      <c r="F68" s="251"/>
      <c r="G68" s="276">
        <f>_xlfn.IFNA(VLOOKUP(B68, 현재가테이블!$B$2:$D$200, 2, FALSE), "-")</f>
        <v>60874000</v>
      </c>
      <c r="H68" s="277"/>
      <c r="I68" s="278"/>
      <c r="J68" s="249" t="s">
        <v>59</v>
      </c>
      <c r="K68" s="250"/>
      <c r="L68" s="251"/>
      <c r="M68" s="279">
        <f>_xlfn.IFNA(VLOOKUP(B68, 현재가테이블!$B$2:$D$200, 3, FALSE), "-")</f>
        <v>-1.4936000099999999E-2</v>
      </c>
      <c r="N68" s="280"/>
      <c r="O68" s="281"/>
      <c r="Q68" s="270"/>
      <c r="R68" s="270"/>
      <c r="S68" s="270"/>
    </row>
    <row r="69" spans="1:19" ht="17.25" thickBot="1">
      <c r="A69" s="310" t="s">
        <v>55</v>
      </c>
      <c r="B69" s="312" t="str">
        <f>TEXT($G$1, "[$-ko-KR]yyyy-mm-dd(ddd) ") &amp; "오전 00:00"</f>
        <v>2021-05-10(월) 오전 00:00</v>
      </c>
      <c r="C69" s="313"/>
      <c r="D69" s="272" t="str">
        <f>TEXT($G$1, "[$-ko-KR]yyyy-mm-dd(ddd) ") &amp; "오후 14:00"</f>
        <v>2021-05-10(월) 오후 14:00</v>
      </c>
      <c r="E69" s="273"/>
      <c r="F69" s="274"/>
      <c r="G69" s="272" t="str">
        <f>TEXT($G$1, "[$-ko-KR]yyyy-mm-dd(ddd) ") &amp; "오후 19:00"</f>
        <v>2021-05-10(월) 오후 19:00</v>
      </c>
      <c r="H69" s="273"/>
      <c r="I69" s="274"/>
      <c r="J69" s="272" t="str">
        <f>TEXT($G$1, "[$-ko-KR]yyyy-mm-dd(ddd) ") &amp; "오후 21:00"</f>
        <v>2021-05-10(월) 오후 21:00</v>
      </c>
      <c r="K69" s="273"/>
      <c r="L69" s="274"/>
      <c r="M69" s="272" t="str">
        <f>TEXT($G$1+1, "[$-ko-KR]yyyy-mm-dd(ddd) ") &amp; "오전 00:00"</f>
        <v>2021-05-11(화) 오전 00:00</v>
      </c>
      <c r="N69" s="273"/>
      <c r="O69" s="274"/>
      <c r="Q69" s="270"/>
      <c r="R69" s="270"/>
      <c r="S69" s="270"/>
    </row>
    <row r="70" spans="1:19" ht="17.25" thickBot="1">
      <c r="A70" s="311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76" t="s">
        <v>58</v>
      </c>
      <c r="H70" s="177" t="s">
        <v>299</v>
      </c>
      <c r="I70" s="178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75"/>
      <c r="R70" s="275"/>
      <c r="S70" s="275"/>
    </row>
    <row r="71" spans="1:19" ht="17.25" thickBot="1">
      <c r="A71" s="122" t="s">
        <v>240</v>
      </c>
      <c r="B71" s="123">
        <v>181</v>
      </c>
      <c r="C71" s="72">
        <v>2.2598870100000001E-2</v>
      </c>
      <c r="D71" s="13">
        <v>178</v>
      </c>
      <c r="E71" s="14">
        <f>IF(ISNUMBER(D71), (D71 - $B71) / $B71, "")</f>
        <v>-1.6574585635359115E-2</v>
      </c>
      <c r="F71" s="16">
        <f>IF(ISNUMBER(D71), $B91 * E71, "")</f>
        <v>-2486.1878453038671</v>
      </c>
      <c r="G71" s="29">
        <v>176</v>
      </c>
      <c r="H71" s="14">
        <f>IF(ISNUMBER(G71), (G71 - $B71) / $B71, "")</f>
        <v>-2.7624309392265192E-2</v>
      </c>
      <c r="I71" s="96">
        <f>IF(ISNUMBER(G71), $B91 * H71, "")</f>
        <v>-4143.6464088397788</v>
      </c>
      <c r="J71" s="13">
        <v>177</v>
      </c>
      <c r="K71" s="14">
        <f>IF(ISNUMBER(J71), (J71 - $B71) / $B71, "")</f>
        <v>-2.2099447513812154E-2</v>
      </c>
      <c r="L71" s="16">
        <f>IF(ISNUMBER(J71), $B91 * K71, "")</f>
        <v>-3314.917127071823</v>
      </c>
      <c r="M71" s="29">
        <v>172</v>
      </c>
      <c r="N71" s="14">
        <f>IF(ISNUMBER(M71), (M71 - $B71) / $B71, "")</f>
        <v>-4.9723756906077346E-2</v>
      </c>
      <c r="O71" s="16">
        <f>IF(ISNUMBER(M71), $B91 * N71, "")</f>
        <v>-7458.5635359116022</v>
      </c>
      <c r="Q71" s="270"/>
      <c r="R71" s="270"/>
      <c r="S71" s="270"/>
    </row>
    <row r="72" spans="1:19" ht="17.25" thickBot="1">
      <c r="A72" s="124" t="s">
        <v>208</v>
      </c>
      <c r="B72" s="125">
        <v>485</v>
      </c>
      <c r="C72" s="73">
        <v>1.46443515E-2</v>
      </c>
      <c r="D72" s="15">
        <v>480</v>
      </c>
      <c r="E72" s="32">
        <f t="shared" ref="E72:E75" si="30">IF(ISNUMBER(D72), (D72 - $B72) / $B72, "")</f>
        <v>-1.0309278350515464E-2</v>
      </c>
      <c r="F72" s="18">
        <f>IF(ISNUMBER(D72), $B91 * E72, "")</f>
        <v>-1546.3917525773195</v>
      </c>
      <c r="G72" s="31">
        <v>478</v>
      </c>
      <c r="H72" s="32">
        <f t="shared" ref="H72:H75" si="31">IF(ISNUMBER(G72), (G72 - $B72) / $B72, "")</f>
        <v>-1.443298969072165E-2</v>
      </c>
      <c r="I72" s="97">
        <f>IF(ISNUMBER(G72), $B91 * H72, "")</f>
        <v>-2164.9484536082477</v>
      </c>
      <c r="J72" s="15">
        <v>477</v>
      </c>
      <c r="K72" s="32">
        <f t="shared" ref="K72:K75" si="32">IF(ISNUMBER(J72), (J72 - $B72) / $B72, "")</f>
        <v>-1.6494845360824743E-2</v>
      </c>
      <c r="L72" s="18">
        <f>IF(ISNUMBER(J72), $B91 * K72, "")</f>
        <v>-2474.2268041237112</v>
      </c>
      <c r="M72" s="31">
        <v>474</v>
      </c>
      <c r="N72" s="32">
        <f t="shared" ref="N72:N75" si="33">IF(ISNUMBER(M72), (M72 - $B72) / $B72, "")</f>
        <v>-2.268041237113402E-2</v>
      </c>
      <c r="O72" s="18">
        <f>IF(ISNUMBER(M72), $B91 * N72, "")</f>
        <v>-3402.0618556701029</v>
      </c>
      <c r="Q72" s="270"/>
      <c r="R72" s="270"/>
      <c r="S72" s="270"/>
    </row>
    <row r="73" spans="1:19" ht="17.25" thickBot="1">
      <c r="A73" s="124" t="s">
        <v>132</v>
      </c>
      <c r="B73" s="125">
        <v>270</v>
      </c>
      <c r="C73" s="73">
        <v>-7.3529412000000001E-3</v>
      </c>
      <c r="D73" s="15">
        <v>280</v>
      </c>
      <c r="E73" s="32">
        <f t="shared" si="30"/>
        <v>3.7037037037037035E-2</v>
      </c>
      <c r="F73" s="18">
        <f>IF(ISNUMBER(D73), $B91 * E73, "")</f>
        <v>5555.5555555555557</v>
      </c>
      <c r="G73" s="31">
        <v>279</v>
      </c>
      <c r="H73" s="32">
        <f t="shared" si="31"/>
        <v>3.3333333333333333E-2</v>
      </c>
      <c r="I73" s="97">
        <f>IF(ISNUMBER(G73), $B91 * H73, "")</f>
        <v>5000</v>
      </c>
      <c r="J73" s="15">
        <v>278</v>
      </c>
      <c r="K73" s="32">
        <f t="shared" si="32"/>
        <v>2.9629629629629631E-2</v>
      </c>
      <c r="L73" s="18">
        <f>IF(ISNUMBER(J73), $B91 * K73, "")</f>
        <v>4444.4444444444443</v>
      </c>
      <c r="M73" s="31">
        <v>273</v>
      </c>
      <c r="N73" s="32">
        <f t="shared" si="33"/>
        <v>1.1111111111111112E-2</v>
      </c>
      <c r="O73" s="18">
        <f>IF(ISNUMBER(M73), $B91 * N73, "")</f>
        <v>1666.6666666666667</v>
      </c>
      <c r="Q73" s="275"/>
      <c r="R73" s="275"/>
      <c r="S73" s="275"/>
    </row>
    <row r="74" spans="1:19" ht="17.25" thickBot="1">
      <c r="A74" s="124" t="s">
        <v>51</v>
      </c>
      <c r="B74" s="125">
        <v>743</v>
      </c>
      <c r="C74" s="73">
        <v>-8.0106809000000008E-3</v>
      </c>
      <c r="D74" s="15">
        <v>815</v>
      </c>
      <c r="E74" s="32">
        <f t="shared" si="30"/>
        <v>9.6904441453566623E-2</v>
      </c>
      <c r="F74" s="18">
        <f>IF(ISNUMBER(D74), $B91 * E74, "")</f>
        <v>14535.666218034994</v>
      </c>
      <c r="G74" s="31">
        <v>963</v>
      </c>
      <c r="H74" s="32">
        <f t="shared" si="31"/>
        <v>0.29609690444145359</v>
      </c>
      <c r="I74" s="97">
        <f>IF(ISNUMBER(G74), $B91 * H74, "")</f>
        <v>44414.535666218042</v>
      </c>
      <c r="J74" s="15">
        <v>897</v>
      </c>
      <c r="K74" s="32">
        <f t="shared" si="32"/>
        <v>0.2072678331090175</v>
      </c>
      <c r="L74" s="18">
        <f>IF(ISNUMBER(J74), $B91 * K74, "")</f>
        <v>31090.174966352624</v>
      </c>
      <c r="M74" s="31">
        <v>900</v>
      </c>
      <c r="N74" s="32">
        <f t="shared" si="33"/>
        <v>0.21130551816958276</v>
      </c>
      <c r="O74" s="18">
        <f>IF(ISNUMBER(M74), $B91 * N74, "")</f>
        <v>31695.827725437415</v>
      </c>
      <c r="Q74" s="275"/>
      <c r="R74" s="275"/>
      <c r="S74" s="275"/>
    </row>
    <row r="75" spans="1:19" ht="17.25" thickBot="1">
      <c r="A75" s="126" t="s">
        <v>226</v>
      </c>
      <c r="B75" s="127">
        <v>493</v>
      </c>
      <c r="C75" s="74">
        <v>-8.0482897000000008E-3</v>
      </c>
      <c r="D75" s="20">
        <v>496</v>
      </c>
      <c r="E75" s="21">
        <f t="shared" si="30"/>
        <v>6.0851926977687626E-3</v>
      </c>
      <c r="F75" s="22">
        <f>IF(ISNUMBER(D75), $B91 * E75, "")</f>
        <v>912.77890466531437</v>
      </c>
      <c r="G75" s="30">
        <v>498</v>
      </c>
      <c r="H75" s="21">
        <f t="shared" si="31"/>
        <v>1.0141987829614604E-2</v>
      </c>
      <c r="I75" s="101">
        <f>IF(ISNUMBER(G75), $B91 * H75, "")</f>
        <v>1521.2981744421907</v>
      </c>
      <c r="J75" s="20">
        <v>494</v>
      </c>
      <c r="K75" s="21">
        <f t="shared" si="32"/>
        <v>2.0283975659229209E-3</v>
      </c>
      <c r="L75" s="22">
        <f>IF(ISNUMBER(J75), $B91 * K75, "")</f>
        <v>304.25963488843814</v>
      </c>
      <c r="M75" s="30">
        <v>491</v>
      </c>
      <c r="N75" s="21">
        <f t="shared" si="33"/>
        <v>-4.0567951318458417E-3</v>
      </c>
      <c r="O75" s="22">
        <f>IF(ISNUMBER(M75), $B91 * N75, "")</f>
        <v>-608.51926977687629</v>
      </c>
      <c r="Q75" s="275"/>
      <c r="R75" s="275"/>
      <c r="S75" s="275"/>
    </row>
    <row r="76" spans="1:19" ht="17.25" thickBot="1">
      <c r="A76" s="124" t="s">
        <v>148</v>
      </c>
      <c r="B76" s="128">
        <v>194</v>
      </c>
      <c r="C76" s="76">
        <v>-1.02040816E-2</v>
      </c>
      <c r="D76" s="102">
        <v>192</v>
      </c>
      <c r="E76" s="103">
        <f>IF(ISNUMBER(D76), (D76 - $B76) / $B76, "")</f>
        <v>-1.0309278350515464E-2</v>
      </c>
      <c r="F76" s="104">
        <f>IF(ISNUMBER(D76), $B91 * E76, "")</f>
        <v>-1546.3917525773195</v>
      </c>
      <c r="G76" s="105">
        <v>194</v>
      </c>
      <c r="H76" s="103">
        <f>IF(ISNUMBER(G76), (G76 - $B76) / $B76, "")</f>
        <v>0</v>
      </c>
      <c r="I76" s="106">
        <f>IF(ISNUMBER(G76), $B91 * H76, "")</f>
        <v>0</v>
      </c>
      <c r="J76" s="102">
        <v>194</v>
      </c>
      <c r="K76" s="103">
        <f>IF(ISNUMBER(J76), (J76 - $B76) / $B76, "")</f>
        <v>0</v>
      </c>
      <c r="L76" s="104">
        <f>IF(ISNUMBER(J76), $B91 * K76, "")</f>
        <v>0</v>
      </c>
      <c r="M76" s="105">
        <v>193</v>
      </c>
      <c r="N76" s="103">
        <f>IF(ISNUMBER(M76), (M76 - $B76) / $B76, "")</f>
        <v>-5.1546391752577319E-3</v>
      </c>
      <c r="O76" s="104">
        <f>IF(ISNUMBER(M76), $B91 * N76, "")</f>
        <v>-773.19587628865975</v>
      </c>
      <c r="Q76" s="275"/>
      <c r="R76" s="275"/>
      <c r="S76" s="275"/>
    </row>
    <row r="77" spans="1:19" ht="17.25" thickBot="1">
      <c r="A77" s="124" t="s">
        <v>156</v>
      </c>
      <c r="B77" s="125">
        <v>172</v>
      </c>
      <c r="C77" s="73">
        <v>-1.14942529E-2</v>
      </c>
      <c r="D77" s="15">
        <v>178</v>
      </c>
      <c r="E77" s="32">
        <f t="shared" ref="E77:E80" si="34">IF(ISNUMBER(D77), (D77 - $B77) / $B77, "")</f>
        <v>3.4883720930232558E-2</v>
      </c>
      <c r="F77" s="18">
        <f>IF(ISNUMBER(D77), $B91 * E77, "")</f>
        <v>5232.5581395348836</v>
      </c>
      <c r="G77" s="31">
        <v>179</v>
      </c>
      <c r="H77" s="32">
        <f t="shared" ref="H77:H80" si="35">IF(ISNUMBER(G77), (G77 - $B77) / $B77, "")</f>
        <v>4.0697674418604654E-2</v>
      </c>
      <c r="I77" s="97">
        <f>IF(ISNUMBER(G77), $B91 * H77, "")</f>
        <v>6104.6511627906984</v>
      </c>
      <c r="J77" s="15">
        <v>177</v>
      </c>
      <c r="K77" s="32">
        <f t="shared" ref="K77:K80" si="36">IF(ISNUMBER(J77), (J77 - $B77) / $B77, "")</f>
        <v>2.9069767441860465E-2</v>
      </c>
      <c r="L77" s="18">
        <f>IF(ISNUMBER(J77), $B91 * K77, "")</f>
        <v>4360.4651162790697</v>
      </c>
      <c r="M77" s="31">
        <v>175</v>
      </c>
      <c r="N77" s="32">
        <f t="shared" ref="N77:N80" si="37">IF(ISNUMBER(M77), (M77 - $B77) / $B77, "")</f>
        <v>1.7441860465116279E-2</v>
      </c>
      <c r="O77" s="18">
        <f>IF(ISNUMBER(M77), $B91 * N77, "")</f>
        <v>2616.2790697674418</v>
      </c>
      <c r="Q77" s="275"/>
      <c r="R77" s="275"/>
      <c r="S77" s="275"/>
    </row>
    <row r="78" spans="1:19" ht="17.25" thickBot="1">
      <c r="A78" s="124" t="s">
        <v>112</v>
      </c>
      <c r="B78" s="125">
        <v>252</v>
      </c>
      <c r="C78" s="73">
        <v>-1.9455252900000001E-2</v>
      </c>
      <c r="D78" s="15">
        <v>256</v>
      </c>
      <c r="E78" s="32">
        <f t="shared" si="34"/>
        <v>1.5873015873015872E-2</v>
      </c>
      <c r="F78" s="18">
        <f>IF(ISNUMBER(D78), $B91 * E78, "")</f>
        <v>2380.9523809523807</v>
      </c>
      <c r="G78" s="31">
        <v>255</v>
      </c>
      <c r="H78" s="32">
        <f t="shared" si="35"/>
        <v>1.1904761904761904E-2</v>
      </c>
      <c r="I78" s="97">
        <f>IF(ISNUMBER(G78), $B91 * H78, "")</f>
        <v>1785.7142857142856</v>
      </c>
      <c r="J78" s="15">
        <v>254</v>
      </c>
      <c r="K78" s="32">
        <f t="shared" si="36"/>
        <v>7.9365079365079361E-3</v>
      </c>
      <c r="L78" s="18">
        <f>IF(ISNUMBER(J78), $B91 * K78, "")</f>
        <v>1190.4761904761904</v>
      </c>
      <c r="M78" s="31">
        <v>253</v>
      </c>
      <c r="N78" s="32">
        <f t="shared" si="37"/>
        <v>3.968253968253968E-3</v>
      </c>
      <c r="O78" s="18">
        <f>IF(ISNUMBER(M78), $B91 * N78, "")</f>
        <v>595.23809523809518</v>
      </c>
      <c r="Q78" s="275"/>
      <c r="R78" s="275"/>
      <c r="S78" s="275"/>
    </row>
    <row r="79" spans="1:19" ht="17.25" thickBot="1">
      <c r="A79" s="124" t="s">
        <v>54</v>
      </c>
      <c r="B79" s="125">
        <v>354</v>
      </c>
      <c r="C79" s="73">
        <v>-2.2099447500000001E-2</v>
      </c>
      <c r="D79" s="15">
        <v>357</v>
      </c>
      <c r="E79" s="32">
        <f t="shared" si="34"/>
        <v>8.4745762711864406E-3</v>
      </c>
      <c r="F79" s="18">
        <f>IF(ISNUMBER(D79), $B91 * E79, "")</f>
        <v>1271.1864406779662</v>
      </c>
      <c r="G79" s="31">
        <v>360</v>
      </c>
      <c r="H79" s="32">
        <f t="shared" si="35"/>
        <v>1.6949152542372881E-2</v>
      </c>
      <c r="I79" s="97">
        <f>IF(ISNUMBER(G79), $B91 * H79, "")</f>
        <v>2542.3728813559323</v>
      </c>
      <c r="J79" s="15">
        <v>354</v>
      </c>
      <c r="K79" s="32">
        <f t="shared" si="36"/>
        <v>0</v>
      </c>
      <c r="L79" s="18">
        <f>IF(ISNUMBER(J79), $B91 * K79, "")</f>
        <v>0</v>
      </c>
      <c r="M79" s="31">
        <v>349</v>
      </c>
      <c r="N79" s="32">
        <f t="shared" si="37"/>
        <v>-1.4124293785310734E-2</v>
      </c>
      <c r="O79" s="18">
        <f>IF(ISNUMBER(M79), $B91 * N79, "")</f>
        <v>-2118.6440677966102</v>
      </c>
      <c r="Q79" s="33"/>
      <c r="R79" s="33"/>
    </row>
    <row r="80" spans="1:19" ht="17.25" thickBot="1">
      <c r="A80" s="129" t="s">
        <v>278</v>
      </c>
      <c r="B80" s="130">
        <v>163</v>
      </c>
      <c r="C80" s="75">
        <v>-2.39520958E-2</v>
      </c>
      <c r="D80" s="24">
        <v>165</v>
      </c>
      <c r="E80" s="25">
        <f t="shared" si="34"/>
        <v>1.2269938650306749E-2</v>
      </c>
      <c r="F80" s="100">
        <f>IF(ISNUMBER(D80), $B91 * E80, "")</f>
        <v>1840.4907975460123</v>
      </c>
      <c r="G80" s="98">
        <v>165</v>
      </c>
      <c r="H80" s="25">
        <f t="shared" si="35"/>
        <v>1.2269938650306749E-2</v>
      </c>
      <c r="I80" s="99">
        <f>IF(ISNUMBER(G80), $B91 * H80, "")</f>
        <v>1840.4907975460123</v>
      </c>
      <c r="J80" s="24">
        <v>164</v>
      </c>
      <c r="K80" s="25">
        <f t="shared" si="36"/>
        <v>6.1349693251533744E-3</v>
      </c>
      <c r="L80" s="100">
        <f>IF(ISNUMBER(J80), $B91 * K80, "")</f>
        <v>920.24539877300617</v>
      </c>
      <c r="M80" s="98">
        <v>163</v>
      </c>
      <c r="N80" s="25">
        <f t="shared" si="37"/>
        <v>0</v>
      </c>
      <c r="O80" s="100">
        <f>IF(ISNUMBER(M80), $B91 * N80, "")</f>
        <v>0</v>
      </c>
      <c r="Q80" s="284"/>
      <c r="R80" s="285"/>
      <c r="S80" s="286"/>
    </row>
    <row r="81" spans="1:19">
      <c r="A81" s="122" t="s">
        <v>88</v>
      </c>
      <c r="B81" s="123">
        <v>592</v>
      </c>
      <c r="C81" s="72">
        <v>-2.47116969E-2</v>
      </c>
      <c r="D81" s="13">
        <v>601</v>
      </c>
      <c r="E81" s="14">
        <f>IF(ISNUMBER(D81), (D81 - $B81) / $B81, "")</f>
        <v>1.5202702702702704E-2</v>
      </c>
      <c r="F81" s="16">
        <f>IF(ISNUMBER(D81), $B91 * E81, "")</f>
        <v>2280.4054054054054</v>
      </c>
      <c r="G81" s="29">
        <v>594</v>
      </c>
      <c r="H81" s="14">
        <f>IF(ISNUMBER(G81), (G81 - $B81) / $B81, "")</f>
        <v>3.3783783783783786E-3</v>
      </c>
      <c r="I81" s="96">
        <f>IF(ISNUMBER(G81), $B91 * H81, "")</f>
        <v>506.75675675675677</v>
      </c>
      <c r="J81" s="13">
        <v>592</v>
      </c>
      <c r="K81" s="14">
        <f>IF(ISNUMBER(J81), (J81 - $B81) / $B81, "")</f>
        <v>0</v>
      </c>
      <c r="L81" s="16">
        <f>IF(ISNUMBER(J81), $B91 * K81, "")</f>
        <v>0</v>
      </c>
      <c r="M81" s="29">
        <v>586</v>
      </c>
      <c r="N81" s="14">
        <f>IF(ISNUMBER(M81), (M81 - $B81) / $B81, "")</f>
        <v>-1.0135135135135136E-2</v>
      </c>
      <c r="O81" s="16">
        <f>IF(ISNUMBER(M81), $B91 * N81, "")</f>
        <v>-1520.2702702702704</v>
      </c>
      <c r="Q81" s="287"/>
      <c r="R81" s="288"/>
      <c r="S81" s="289"/>
    </row>
    <row r="82" spans="1:19" ht="17.25" thickBot="1">
      <c r="A82" s="124" t="s">
        <v>128</v>
      </c>
      <c r="B82" s="125">
        <v>715</v>
      </c>
      <c r="C82" s="73">
        <v>-2.85326087E-2</v>
      </c>
      <c r="D82" s="15">
        <v>704</v>
      </c>
      <c r="E82" s="32">
        <f t="shared" ref="E82:E85" si="38">IF(ISNUMBER(D82), (D82 - $B82) / $B82, "")</f>
        <v>-1.5384615384615385E-2</v>
      </c>
      <c r="F82" s="18">
        <f>IF(ISNUMBER(D82), $B91 * E82, "")</f>
        <v>-2307.6923076923076</v>
      </c>
      <c r="G82" s="31">
        <v>703</v>
      </c>
      <c r="H82" s="32">
        <f t="shared" ref="H82:H85" si="39">IF(ISNUMBER(G82), (G82 - $B82) / $B82, "")</f>
        <v>-1.6783216783216783E-2</v>
      </c>
      <c r="I82" s="97">
        <f>IF(ISNUMBER(G82), $B91 * H82, "")</f>
        <v>-2517.4825174825173</v>
      </c>
      <c r="J82" s="15">
        <v>697</v>
      </c>
      <c r="K82" s="32">
        <f t="shared" ref="K82:K85" si="40">IF(ISNUMBER(J82), (J82 - $B82) / $B82, "")</f>
        <v>-2.5174825174825177E-2</v>
      </c>
      <c r="L82" s="18">
        <f>IF(ISNUMBER(J82), $B91 * K82, "")</f>
        <v>-3776.2237762237764</v>
      </c>
      <c r="M82" s="31">
        <v>685</v>
      </c>
      <c r="N82" s="32">
        <f t="shared" ref="N82:N85" si="41">IF(ISNUMBER(M82), (M82 - $B82) / $B82, "")</f>
        <v>-4.195804195804196E-2</v>
      </c>
      <c r="O82" s="18">
        <f>IF(ISNUMBER(M82), $B91 * N82, "")</f>
        <v>-6293.7062937062938</v>
      </c>
      <c r="Q82" s="290"/>
      <c r="R82" s="291"/>
      <c r="S82" s="292"/>
    </row>
    <row r="83" spans="1:19" ht="17.25" thickBot="1">
      <c r="A83" s="124" t="s">
        <v>116</v>
      </c>
      <c r="B83" s="125">
        <v>640</v>
      </c>
      <c r="C83" s="73">
        <v>-3.1770045400000002E-2</v>
      </c>
      <c r="D83" s="15">
        <v>654</v>
      </c>
      <c r="E83" s="32">
        <f t="shared" si="38"/>
        <v>2.1874999999999999E-2</v>
      </c>
      <c r="F83" s="18">
        <f>IF(ISNUMBER(D83), $B91 * E83, "")</f>
        <v>3281.25</v>
      </c>
      <c r="G83" s="31">
        <v>648</v>
      </c>
      <c r="H83" s="32">
        <f t="shared" si="39"/>
        <v>1.2500000000000001E-2</v>
      </c>
      <c r="I83" s="97">
        <f>IF(ISNUMBER(G83), $B91 * H83, "")</f>
        <v>1875</v>
      </c>
      <c r="J83" s="15">
        <v>648</v>
      </c>
      <c r="K83" s="32">
        <f t="shared" si="40"/>
        <v>1.2500000000000001E-2</v>
      </c>
      <c r="L83" s="18">
        <f>IF(ISNUMBER(J83), $B91 * K83, "")</f>
        <v>1875</v>
      </c>
      <c r="M83" s="31">
        <v>637</v>
      </c>
      <c r="N83" s="32">
        <f t="shared" si="41"/>
        <v>-4.6874999999999998E-3</v>
      </c>
      <c r="O83" s="18">
        <f>IF(ISNUMBER(M83), $B91 * N83, "")</f>
        <v>-703.125</v>
      </c>
      <c r="Q83" s="275"/>
      <c r="R83" s="275"/>
      <c r="S83" s="275"/>
    </row>
    <row r="84" spans="1:19" ht="17.25" thickBot="1">
      <c r="A84" s="124" t="s">
        <v>202</v>
      </c>
      <c r="B84" s="125">
        <v>196</v>
      </c>
      <c r="C84" s="73">
        <v>-3.4482758600000003E-2</v>
      </c>
      <c r="D84" s="15">
        <v>198</v>
      </c>
      <c r="E84" s="32">
        <f t="shared" si="38"/>
        <v>1.020408163265306E-2</v>
      </c>
      <c r="F84" s="18">
        <f>IF(ISNUMBER(D84), $B91 * E84, "")</f>
        <v>1530.612244897959</v>
      </c>
      <c r="G84" s="31">
        <v>197</v>
      </c>
      <c r="H84" s="32">
        <f t="shared" si="39"/>
        <v>5.1020408163265302E-3</v>
      </c>
      <c r="I84" s="97">
        <f>IF(ISNUMBER(G84), $B91 * H84, "")</f>
        <v>765.30612244897952</v>
      </c>
      <c r="J84" s="15">
        <v>195</v>
      </c>
      <c r="K84" s="32">
        <f t="shared" si="40"/>
        <v>-5.1020408163265302E-3</v>
      </c>
      <c r="L84" s="18">
        <f>IF(ISNUMBER(J84), $B91 * K84, "")</f>
        <v>-765.30612244897952</v>
      </c>
      <c r="M84" s="31">
        <v>195</v>
      </c>
      <c r="N84" s="32">
        <f t="shared" si="41"/>
        <v>-5.1020408163265302E-3</v>
      </c>
      <c r="O84" s="18">
        <f>IF(ISNUMBER(M84), $B91 * N84, "")</f>
        <v>-765.30612244897952</v>
      </c>
      <c r="Q84" s="270"/>
      <c r="R84" s="270"/>
      <c r="S84" s="270"/>
    </row>
    <row r="85" spans="1:19" ht="17.25" thickBot="1">
      <c r="A85" s="126" t="s">
        <v>136</v>
      </c>
      <c r="B85" s="127">
        <v>276</v>
      </c>
      <c r="C85" s="74">
        <v>-3.4965034999999998E-2</v>
      </c>
      <c r="D85" s="20">
        <v>301</v>
      </c>
      <c r="E85" s="21">
        <f t="shared" si="38"/>
        <v>9.0579710144927536E-2</v>
      </c>
      <c r="F85" s="22">
        <f>IF(ISNUMBER(D85), $B91 * E85, "")</f>
        <v>13586.95652173913</v>
      </c>
      <c r="G85" s="30">
        <v>300</v>
      </c>
      <c r="H85" s="21">
        <f t="shared" si="39"/>
        <v>8.6956521739130432E-2</v>
      </c>
      <c r="I85" s="101">
        <f>IF(ISNUMBER(G85), $B91 * H85, "")</f>
        <v>13043.478260869564</v>
      </c>
      <c r="J85" s="20">
        <v>293</v>
      </c>
      <c r="K85" s="21">
        <f t="shared" si="40"/>
        <v>6.1594202898550728E-2</v>
      </c>
      <c r="L85" s="22">
        <f>IF(ISNUMBER(J85), $B91 * K85, "")</f>
        <v>9239.1304347826099</v>
      </c>
      <c r="M85" s="30">
        <v>283</v>
      </c>
      <c r="N85" s="21">
        <f t="shared" si="41"/>
        <v>2.5362318840579712E-2</v>
      </c>
      <c r="O85" s="22">
        <f>IF(ISNUMBER(M85), $B91 * N85, "")</f>
        <v>3804.347826086957</v>
      </c>
      <c r="Q85" s="270"/>
      <c r="R85" s="270"/>
      <c r="S85" s="270"/>
    </row>
    <row r="86" spans="1:19" ht="17.25" thickBot="1">
      <c r="A86" s="124" t="s">
        <v>120</v>
      </c>
      <c r="B86" s="128">
        <v>216</v>
      </c>
      <c r="C86" s="76">
        <v>-3.5714285700000001E-2</v>
      </c>
      <c r="D86" s="102">
        <v>220</v>
      </c>
      <c r="E86" s="103">
        <f>IF(ISNUMBER(D86), (D86 - $B86) / $B86, "")</f>
        <v>1.8518518518518517E-2</v>
      </c>
      <c r="F86" s="104">
        <f>IF(ISNUMBER(D86), $B91 * E86, "")</f>
        <v>2777.7777777777778</v>
      </c>
      <c r="G86" s="105">
        <v>222</v>
      </c>
      <c r="H86" s="103">
        <f>IF(ISNUMBER(G86), (G86 - $B86) / $B86, "")</f>
        <v>2.7777777777777776E-2</v>
      </c>
      <c r="I86" s="106">
        <f>IF(ISNUMBER(G86), $B91 * H86, "")</f>
        <v>4166.6666666666661</v>
      </c>
      <c r="J86" s="102">
        <v>219</v>
      </c>
      <c r="K86" s="103">
        <f>IF(ISNUMBER(J86), (J86 - $B86) / $B86, "")</f>
        <v>1.3888888888888888E-2</v>
      </c>
      <c r="L86" s="104">
        <f>IF(ISNUMBER(J86), $B91 * K86, "")</f>
        <v>2083.333333333333</v>
      </c>
      <c r="M86" s="105">
        <v>216</v>
      </c>
      <c r="N86" s="103">
        <f>IF(ISNUMBER(M86), (M86 - $B86) / $B86, "")</f>
        <v>0</v>
      </c>
      <c r="O86" s="104">
        <f>IF(ISNUMBER(M86), $B91 * N86, "")</f>
        <v>0</v>
      </c>
      <c r="Q86" s="275"/>
      <c r="R86" s="275"/>
      <c r="S86" s="275"/>
    </row>
    <row r="87" spans="1:19" ht="17.25" thickBot="1">
      <c r="A87" s="124" t="s">
        <v>142</v>
      </c>
      <c r="B87" s="125">
        <v>472</v>
      </c>
      <c r="C87" s="73">
        <v>-3.6734693899999997E-2</v>
      </c>
      <c r="D87" s="15">
        <v>466</v>
      </c>
      <c r="E87" s="32">
        <f t="shared" ref="E87:E90" si="42">IF(ISNUMBER(D87), (D87 - $B87) / $B87, "")</f>
        <v>-1.2711864406779662E-2</v>
      </c>
      <c r="F87" s="18">
        <f>IF(ISNUMBER(D87), $B91 * E87, "")</f>
        <v>-1906.7796610169494</v>
      </c>
      <c r="G87" s="31">
        <v>466</v>
      </c>
      <c r="H87" s="32">
        <f t="shared" ref="H87:H90" si="43">IF(ISNUMBER(G87), (G87 - $B87) / $B87, "")</f>
        <v>-1.2711864406779662E-2</v>
      </c>
      <c r="I87" s="97">
        <f>IF(ISNUMBER(G87), $B91 * H87, "")</f>
        <v>-1906.7796610169494</v>
      </c>
      <c r="J87" s="15">
        <v>457</v>
      </c>
      <c r="K87" s="32">
        <f t="shared" ref="K87:K90" si="44">IF(ISNUMBER(J87), (J87 - $B87) / $B87, "")</f>
        <v>-3.1779661016949151E-2</v>
      </c>
      <c r="L87" s="18">
        <f>IF(ISNUMBER(J87), $B91 * K87, "")</f>
        <v>-4766.9491525423728</v>
      </c>
      <c r="M87" s="31">
        <v>450</v>
      </c>
      <c r="N87" s="32">
        <f t="shared" ref="N87:N90" si="45">IF(ISNUMBER(M87), (M87 - $B87) / $B87, "")</f>
        <v>-4.6610169491525424E-2</v>
      </c>
      <c r="O87" s="18">
        <f>IF(ISNUMBER(M87), $B91 * N87, "")</f>
        <v>-6991.5254237288136</v>
      </c>
      <c r="Q87" s="275"/>
      <c r="R87" s="275"/>
      <c r="S87" s="275"/>
    </row>
    <row r="88" spans="1:19" ht="17.25" thickBot="1">
      <c r="A88" s="124" t="s">
        <v>284</v>
      </c>
      <c r="B88" s="125">
        <v>511</v>
      </c>
      <c r="C88" s="73">
        <v>-3.9473684199999998E-2</v>
      </c>
      <c r="D88" s="15">
        <v>505</v>
      </c>
      <c r="E88" s="32">
        <f t="shared" si="42"/>
        <v>-1.1741682974559686E-2</v>
      </c>
      <c r="F88" s="18">
        <f>IF(ISNUMBER(D88), $B91 * E88, "")</f>
        <v>-1761.252446183953</v>
      </c>
      <c r="G88" s="31">
        <v>506</v>
      </c>
      <c r="H88" s="32">
        <f t="shared" si="43"/>
        <v>-9.7847358121330719E-3</v>
      </c>
      <c r="I88" s="97">
        <f>IF(ISNUMBER(G88), $B91 * H88, "")</f>
        <v>-1467.7103718199608</v>
      </c>
      <c r="J88" s="15">
        <v>504</v>
      </c>
      <c r="K88" s="32">
        <f t="shared" si="44"/>
        <v>-1.3698630136986301E-2</v>
      </c>
      <c r="L88" s="18">
        <f>IF(ISNUMBER(J88), $B91 * K88, "")</f>
        <v>-2054.794520547945</v>
      </c>
      <c r="M88" s="31">
        <v>495</v>
      </c>
      <c r="N88" s="32">
        <f t="shared" si="45"/>
        <v>-3.131115459882583E-2</v>
      </c>
      <c r="O88" s="18">
        <f>IF(ISNUMBER(M88), $B91 * N88, "")</f>
        <v>-4696.6731898238741</v>
      </c>
      <c r="Q88" s="275"/>
      <c r="R88" s="275"/>
      <c r="S88" s="275"/>
    </row>
    <row r="89" spans="1:19">
      <c r="A89" s="124" t="s">
        <v>200</v>
      </c>
      <c r="B89" s="125">
        <v>344</v>
      </c>
      <c r="C89" s="73">
        <v>-4.1782729800000001E-2</v>
      </c>
      <c r="D89" s="15">
        <v>343</v>
      </c>
      <c r="E89" s="32">
        <f t="shared" si="42"/>
        <v>-2.9069767441860465E-3</v>
      </c>
      <c r="F89" s="18">
        <f>IF(ISNUMBER(D89), $B91 * E89, "")</f>
        <v>-436.04651162790697</v>
      </c>
      <c r="G89" s="31">
        <v>346</v>
      </c>
      <c r="H89" s="32">
        <f t="shared" si="43"/>
        <v>5.8139534883720929E-3</v>
      </c>
      <c r="I89" s="97">
        <f>IF(ISNUMBER(G89), $B91 * H89, "")</f>
        <v>872.09302325581393</v>
      </c>
      <c r="J89" s="15">
        <v>345</v>
      </c>
      <c r="K89" s="32">
        <f t="shared" si="44"/>
        <v>2.9069767441860465E-3</v>
      </c>
      <c r="L89" s="18">
        <f>IF(ISNUMBER(J89), $B91 * K89, "")</f>
        <v>436.04651162790697</v>
      </c>
      <c r="M89" s="31">
        <v>341</v>
      </c>
      <c r="N89" s="32">
        <f t="shared" si="45"/>
        <v>-8.7209302325581394E-3</v>
      </c>
      <c r="O89" s="18">
        <f>IF(ISNUMBER(M89), $B91 * N89, "")</f>
        <v>-1308.1395348837209</v>
      </c>
      <c r="Q89" s="297"/>
      <c r="R89" s="298"/>
      <c r="S89" s="299"/>
    </row>
    <row r="90" spans="1:19" ht="17.25" thickBot="1">
      <c r="A90" s="129" t="s">
        <v>260</v>
      </c>
      <c r="B90" s="130">
        <v>114</v>
      </c>
      <c r="C90" s="75">
        <v>-4.2016806699999999E-2</v>
      </c>
      <c r="D90" s="24">
        <v>114</v>
      </c>
      <c r="E90" s="25">
        <f t="shared" si="42"/>
        <v>0</v>
      </c>
      <c r="F90" s="100">
        <f>IF(ISNUMBER(D90), $B91 * E90, "")</f>
        <v>0</v>
      </c>
      <c r="G90" s="98">
        <v>117</v>
      </c>
      <c r="H90" s="25">
        <f t="shared" si="43"/>
        <v>2.6315789473684209E-2</v>
      </c>
      <c r="I90" s="99">
        <f>IF(ISNUMBER(G90), $B91 * H90, "")</f>
        <v>3947.3684210526312</v>
      </c>
      <c r="J90" s="24">
        <v>119</v>
      </c>
      <c r="K90" s="25">
        <f t="shared" si="44"/>
        <v>4.3859649122807015E-2</v>
      </c>
      <c r="L90" s="100">
        <f>IF(ISNUMBER(J90), $B91 * K90, "")</f>
        <v>6578.9473684210525</v>
      </c>
      <c r="M90" s="98">
        <v>128</v>
      </c>
      <c r="N90" s="25">
        <f t="shared" si="45"/>
        <v>0.12280701754385964</v>
      </c>
      <c r="O90" s="100">
        <f>IF(ISNUMBER(M90), $B91 * N90, "")</f>
        <v>18421.052631578947</v>
      </c>
      <c r="Q90" s="300"/>
      <c r="R90" s="301"/>
      <c r="S90" s="302"/>
    </row>
    <row r="91" spans="1:19" ht="17.25" thickBot="1">
      <c r="A91" s="131" t="s">
        <v>301</v>
      </c>
      <c r="B91" s="308">
        <f>$B$37</f>
        <v>150000</v>
      </c>
      <c r="C91" s="309"/>
      <c r="D91" s="26" t="s">
        <v>302</v>
      </c>
      <c r="E91" s="27">
        <f>IF(COUNT(E71:E90), SUM(E71:E90) / COUNT(E71:E90), 0)</f>
        <v>1.4398482703269253E-2</v>
      </c>
      <c r="F91" s="28">
        <f>SUM(F71:F90)</f>
        <v>43195.448109807767</v>
      </c>
      <c r="G91" s="26" t="s">
        <v>302</v>
      </c>
      <c r="H91" s="27">
        <f>IF(COUNT(H71:H90), SUM(H71:H90) / COUNT(H71:H90), 0)</f>
        <v>2.5395054935450044E-2</v>
      </c>
      <c r="I91" s="28">
        <f>SUM(I71:I90)</f>
        <v>76185.164806350134</v>
      </c>
      <c r="J91" s="26" t="s">
        <v>302</v>
      </c>
      <c r="K91" s="27">
        <f>IF(COUNT(K71:K90), SUM(K71:K90) / COUNT(K71:K90), 0)</f>
        <v>1.5123368632140022E-2</v>
      </c>
      <c r="L91" s="28">
        <f>SUM(L71:L90)</f>
        <v>45370.105896420064</v>
      </c>
      <c r="M91" s="26" t="s">
        <v>302</v>
      </c>
      <c r="N91" s="27">
        <f>IF(COUNT(N71:N90), SUM(N71:N90) / COUNT(N71:N90), 0)</f>
        <v>7.3865605248232382E-3</v>
      </c>
      <c r="O91" s="28">
        <f>SUM(O71:O90)</f>
        <v>22159.68157446972</v>
      </c>
      <c r="Q91" s="303"/>
      <c r="R91" s="304"/>
      <c r="S91" s="305"/>
    </row>
    <row r="93" spans="1:19" ht="17.25" thickBot="1"/>
    <row r="94" spans="1:19" ht="17.25" thickBot="1">
      <c r="A94" s="249" t="s">
        <v>46</v>
      </c>
      <c r="B94" s="250"/>
      <c r="C94" s="250"/>
      <c r="D94" s="250"/>
      <c r="E94" s="250"/>
      <c r="F94" s="250"/>
      <c r="G94" s="250"/>
      <c r="H94" s="250"/>
      <c r="I94" s="250"/>
      <c r="J94" s="250"/>
      <c r="K94" s="250"/>
      <c r="L94" s="250"/>
      <c r="M94" s="250"/>
      <c r="N94" s="250"/>
      <c r="O94" s="251"/>
      <c r="Q94" s="270"/>
      <c r="R94" s="270"/>
      <c r="S94" s="270"/>
    </row>
    <row r="95" spans="1:19" ht="17.25" thickBot="1">
      <c r="A95" s="175" t="s">
        <v>298</v>
      </c>
      <c r="B95" s="249" t="s">
        <v>49</v>
      </c>
      <c r="C95" s="251"/>
      <c r="D95" s="249" t="s">
        <v>58</v>
      </c>
      <c r="E95" s="250"/>
      <c r="F95" s="251"/>
      <c r="G95" s="276">
        <f>_xlfn.IFNA(VLOOKUP(B95, 현재가테이블!$B$2:$D$200, 2, FALSE), "-")</f>
        <v>60874000</v>
      </c>
      <c r="H95" s="277"/>
      <c r="I95" s="278"/>
      <c r="J95" s="249" t="s">
        <v>59</v>
      </c>
      <c r="K95" s="250"/>
      <c r="L95" s="251"/>
      <c r="M95" s="279">
        <f>_xlfn.IFNA(VLOOKUP(B95, 현재가테이블!$B$2:$D$200, 3, FALSE), "-")</f>
        <v>-1.4936000099999999E-2</v>
      </c>
      <c r="N95" s="280"/>
      <c r="O95" s="281"/>
      <c r="Q95" s="270"/>
      <c r="R95" s="270"/>
      <c r="S95" s="270"/>
    </row>
    <row r="96" spans="1:19" ht="17.25" thickBot="1">
      <c r="A96" s="310" t="s">
        <v>55</v>
      </c>
      <c r="B96" s="312" t="str">
        <f>TEXT($G$1, "[$-ko-KR]yyyy-mm-dd(ddd) ") &amp; "오전 00:00"</f>
        <v>2021-05-10(월) 오전 00:00</v>
      </c>
      <c r="C96" s="313"/>
      <c r="D96" s="272" t="str">
        <f>TEXT($G$1, "[$-ko-KR]yyyy-mm-dd(ddd) ") &amp; "오후 14:00"</f>
        <v>2021-05-10(월) 오후 14:00</v>
      </c>
      <c r="E96" s="273"/>
      <c r="F96" s="274"/>
      <c r="G96" s="272" t="str">
        <f>TEXT($G$1, "[$-ko-KR]yyyy-mm-dd(ddd) ") &amp; "오후 19:00"</f>
        <v>2021-05-10(월) 오후 19:00</v>
      </c>
      <c r="H96" s="273"/>
      <c r="I96" s="274"/>
      <c r="J96" s="272" t="str">
        <f>TEXT($G$1, "[$-ko-KR]yyyy-mm-dd(ddd) ") &amp; "오후 21:00"</f>
        <v>2021-05-10(월) 오후 21:00</v>
      </c>
      <c r="K96" s="273"/>
      <c r="L96" s="274"/>
      <c r="M96" s="272" t="str">
        <f>TEXT($G$1+1, "[$-ko-KR]yyyy-mm-dd(ddd) ") &amp; "오전 00:00"</f>
        <v>2021-05-11(화) 오전 00:00</v>
      </c>
      <c r="N96" s="273"/>
      <c r="O96" s="274"/>
      <c r="Q96" s="270"/>
      <c r="R96" s="270"/>
      <c r="S96" s="270"/>
    </row>
    <row r="97" spans="1:19" ht="17.25" thickBot="1">
      <c r="A97" s="311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76" t="s">
        <v>58</v>
      </c>
      <c r="H97" s="177" t="s">
        <v>299</v>
      </c>
      <c r="I97" s="178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75"/>
      <c r="R97" s="275"/>
      <c r="S97" s="275"/>
    </row>
    <row r="98" spans="1:19" ht="17.25" thickBot="1">
      <c r="A98" s="122" t="s">
        <v>84</v>
      </c>
      <c r="B98" s="123">
        <v>2220</v>
      </c>
      <c r="C98" s="72">
        <v>0.1240506329</v>
      </c>
      <c r="D98" s="13">
        <v>2125</v>
      </c>
      <c r="E98" s="14">
        <f>IF(ISNUMBER(D98), (D98 - $B98) / $B98, "")</f>
        <v>-4.2792792792792793E-2</v>
      </c>
      <c r="F98" s="16">
        <f>IF(ISNUMBER(D98), $B118 * E98, "")</f>
        <v>-6418.9189189189192</v>
      </c>
      <c r="G98" s="29">
        <v>2170</v>
      </c>
      <c r="H98" s="14">
        <f>IF(ISNUMBER(G98), (G98 - $B98) / $B98, "")</f>
        <v>-2.2522522522522521E-2</v>
      </c>
      <c r="I98" s="96">
        <f>IF(ISNUMBER(G98), $B118 * H98, "")</f>
        <v>-3378.3783783783783</v>
      </c>
      <c r="J98" s="13">
        <v>2175</v>
      </c>
      <c r="K98" s="14">
        <f>IF(ISNUMBER(J98), (J98 - $B98) / $B98, "")</f>
        <v>-2.0270270270270271E-2</v>
      </c>
      <c r="L98" s="16">
        <f>IF(ISNUMBER(J98), $B118 * K98, "")</f>
        <v>-3040.5405405405409</v>
      </c>
      <c r="M98" s="29">
        <v>2155</v>
      </c>
      <c r="N98" s="14">
        <f>IF(ISNUMBER(M98), (M98 - $B98) / $B98, "")</f>
        <v>-2.9279279279279279E-2</v>
      </c>
      <c r="O98" s="16">
        <f>IF(ISNUMBER(M98), $B118 * N98, "")</f>
        <v>-4391.8918918918916</v>
      </c>
      <c r="Q98" s="270"/>
      <c r="R98" s="270"/>
      <c r="S98" s="270"/>
    </row>
    <row r="99" spans="1:19" ht="17.25" thickBot="1">
      <c r="A99" s="124" t="s">
        <v>104</v>
      </c>
      <c r="B99" s="125">
        <v>3250</v>
      </c>
      <c r="C99" s="73">
        <v>8.6956521699999997E-2</v>
      </c>
      <c r="D99" s="15">
        <v>3210</v>
      </c>
      <c r="E99" s="32">
        <f t="shared" ref="E99:E102" si="46">IF(ISNUMBER(D99), (D99 - $B99) / $B99, "")</f>
        <v>-1.2307692307692308E-2</v>
      </c>
      <c r="F99" s="18">
        <f>IF(ISNUMBER(D99), $B118 * E99, "")</f>
        <v>-1846.1538461538462</v>
      </c>
      <c r="G99" s="31">
        <v>3200</v>
      </c>
      <c r="H99" s="32">
        <f t="shared" ref="H99:H102" si="47">IF(ISNUMBER(G99), (G99 - $B99) / $B99, "")</f>
        <v>-1.5384615384615385E-2</v>
      </c>
      <c r="I99" s="97">
        <f>IF(ISNUMBER(G99), $B118 * H99, "")</f>
        <v>-2307.6923076923076</v>
      </c>
      <c r="J99" s="15">
        <v>3235</v>
      </c>
      <c r="K99" s="32">
        <f t="shared" ref="K99:K102" si="48">IF(ISNUMBER(J99), (J99 - $B99) / $B99, "")</f>
        <v>-4.6153846153846158E-3</v>
      </c>
      <c r="L99" s="18">
        <f>IF(ISNUMBER(J99), $B118 * K99, "")</f>
        <v>-692.30769230769238</v>
      </c>
      <c r="M99" s="31">
        <v>3165</v>
      </c>
      <c r="N99" s="32">
        <f t="shared" ref="N99:N102" si="49">IF(ISNUMBER(M99), (M99 - $B99) / $B99, "")</f>
        <v>-2.6153846153846153E-2</v>
      </c>
      <c r="O99" s="18">
        <f>IF(ISNUMBER(M99), $B118 * N99, "")</f>
        <v>-3923.0769230769229</v>
      </c>
      <c r="Q99" s="270"/>
      <c r="R99" s="270"/>
      <c r="S99" s="270"/>
    </row>
    <row r="100" spans="1:19" ht="17.25" thickBot="1">
      <c r="A100" s="124" t="s">
        <v>280</v>
      </c>
      <c r="B100" s="125">
        <v>2185</v>
      </c>
      <c r="C100" s="73">
        <v>7.1078431400000003E-2</v>
      </c>
      <c r="D100" s="15">
        <v>1975</v>
      </c>
      <c r="E100" s="32">
        <f t="shared" si="46"/>
        <v>-9.6109839816933634E-2</v>
      </c>
      <c r="F100" s="18">
        <f>IF(ISNUMBER(D100), $B118 * E100, "")</f>
        <v>-14416.475972540045</v>
      </c>
      <c r="G100" s="31">
        <v>2065</v>
      </c>
      <c r="H100" s="32">
        <f t="shared" si="47"/>
        <v>-5.4919908466819219E-2</v>
      </c>
      <c r="I100" s="97">
        <f>IF(ISNUMBER(G100), $B118 * H100, "")</f>
        <v>-8237.9862700228823</v>
      </c>
      <c r="J100" s="15">
        <v>2010</v>
      </c>
      <c r="K100" s="32">
        <f t="shared" si="48"/>
        <v>-8.0091533180778038E-2</v>
      </c>
      <c r="L100" s="18">
        <f>IF(ISNUMBER(J100), $B118 * K100, "")</f>
        <v>-12013.729977116705</v>
      </c>
      <c r="M100" s="31">
        <v>1975</v>
      </c>
      <c r="N100" s="32">
        <f t="shared" si="49"/>
        <v>-9.6109839816933634E-2</v>
      </c>
      <c r="O100" s="18">
        <f>IF(ISNUMBER(M100), $B118 * N100, "")</f>
        <v>-14416.475972540045</v>
      </c>
      <c r="Q100" s="275"/>
      <c r="R100" s="275"/>
      <c r="S100" s="275"/>
    </row>
    <row r="101" spans="1:19" ht="17.25" thickBot="1">
      <c r="A101" s="124" t="s">
        <v>76</v>
      </c>
      <c r="B101" s="125">
        <v>62690</v>
      </c>
      <c r="C101" s="73">
        <v>5.3613445400000001E-2</v>
      </c>
      <c r="D101" s="15">
        <v>62570</v>
      </c>
      <c r="E101" s="32">
        <f t="shared" si="46"/>
        <v>-1.914180890094114E-3</v>
      </c>
      <c r="F101" s="18">
        <f>IF(ISNUMBER(D101), $B118 * E101, "")</f>
        <v>-287.12713351411708</v>
      </c>
      <c r="G101" s="31">
        <v>62910</v>
      </c>
      <c r="H101" s="32">
        <f t="shared" si="47"/>
        <v>3.5093316318392086E-3</v>
      </c>
      <c r="I101" s="97">
        <f>IF(ISNUMBER(G101), $B118 * H101, "")</f>
        <v>526.39974477588135</v>
      </c>
      <c r="J101" s="15">
        <v>62970</v>
      </c>
      <c r="K101" s="32">
        <f t="shared" si="48"/>
        <v>4.4664220768862659E-3</v>
      </c>
      <c r="L101" s="18">
        <f>IF(ISNUMBER(J101), $B118 * K101, "")</f>
        <v>669.96331153293988</v>
      </c>
      <c r="M101" s="31">
        <v>62070</v>
      </c>
      <c r="N101" s="32">
        <f t="shared" si="49"/>
        <v>-9.8899345988195889E-3</v>
      </c>
      <c r="O101" s="18">
        <f>IF(ISNUMBER(M101), $B118 * N101, "")</f>
        <v>-1483.4901898229384</v>
      </c>
      <c r="Q101" s="275"/>
      <c r="R101" s="275"/>
      <c r="S101" s="275"/>
    </row>
    <row r="102" spans="1:19" ht="17.25" thickBot="1">
      <c r="A102" s="126" t="s">
        <v>224</v>
      </c>
      <c r="B102" s="127">
        <v>2190</v>
      </c>
      <c r="C102" s="74">
        <v>5.2884615400000001E-2</v>
      </c>
      <c r="D102" s="20">
        <v>2140</v>
      </c>
      <c r="E102" s="21">
        <f t="shared" si="46"/>
        <v>-2.2831050228310501E-2</v>
      </c>
      <c r="F102" s="22">
        <f>IF(ISNUMBER(D102), $B118 * E102, "")</f>
        <v>-3424.6575342465753</v>
      </c>
      <c r="G102" s="30">
        <v>2125</v>
      </c>
      <c r="H102" s="21">
        <f t="shared" si="47"/>
        <v>-2.9680365296803651E-2</v>
      </c>
      <c r="I102" s="101">
        <f>IF(ISNUMBER(G102), $B118 * H102, "")</f>
        <v>-4452.0547945205481</v>
      </c>
      <c r="J102" s="20">
        <v>2120</v>
      </c>
      <c r="K102" s="21">
        <f t="shared" si="48"/>
        <v>-3.1963470319634701E-2</v>
      </c>
      <c r="L102" s="22">
        <f>IF(ISNUMBER(J102), $B118 * K102, "")</f>
        <v>-4794.5205479452052</v>
      </c>
      <c r="M102" s="30">
        <v>2110</v>
      </c>
      <c r="N102" s="21">
        <f t="shared" si="49"/>
        <v>-3.6529680365296802E-2</v>
      </c>
      <c r="O102" s="22">
        <f>IF(ISNUMBER(M102), $B118 * N102, "")</f>
        <v>-5479.4520547945203</v>
      </c>
      <c r="Q102" s="275"/>
      <c r="R102" s="275"/>
      <c r="S102" s="275"/>
    </row>
    <row r="103" spans="1:19" ht="17.25" thickBot="1">
      <c r="A103" s="124" t="s">
        <v>188</v>
      </c>
      <c r="B103" s="128">
        <v>32780</v>
      </c>
      <c r="C103" s="76">
        <v>5.0304389599999999E-2</v>
      </c>
      <c r="D103" s="102">
        <v>32770</v>
      </c>
      <c r="E103" s="103">
        <f>IF(ISNUMBER(D103), (D103 - $B103) / $B103, "")</f>
        <v>-3.0506406345332519E-4</v>
      </c>
      <c r="F103" s="104">
        <f>IF(ISNUMBER(D103), $B118 * E103, "")</f>
        <v>-45.759609517998776</v>
      </c>
      <c r="G103" s="105">
        <v>32430</v>
      </c>
      <c r="H103" s="103">
        <f>IF(ISNUMBER(G103), (G103 - $B103) / $B103, "")</f>
        <v>-1.0677242220866382E-2</v>
      </c>
      <c r="I103" s="106">
        <f>IF(ISNUMBER(G103), $B118 * H103, "")</f>
        <v>-1601.5863331299574</v>
      </c>
      <c r="J103" s="102">
        <v>32200</v>
      </c>
      <c r="K103" s="103">
        <f>IF(ISNUMBER(J103), (J103 - $B103) / $B103, "")</f>
        <v>-1.7693715680292862E-2</v>
      </c>
      <c r="L103" s="104">
        <f>IF(ISNUMBER(J103), $B118 * K103, "")</f>
        <v>-2654.0573520439293</v>
      </c>
      <c r="M103" s="105">
        <v>31810</v>
      </c>
      <c r="N103" s="103">
        <f>IF(ISNUMBER(M103), (M103 - $B103) / $B103, "")</f>
        <v>-2.9591214154972543E-2</v>
      </c>
      <c r="O103" s="104">
        <f>IF(ISNUMBER(M103), $B118 * N103, "")</f>
        <v>-4438.6821232458815</v>
      </c>
      <c r="Q103" s="275"/>
      <c r="R103" s="275"/>
      <c r="S103" s="275"/>
    </row>
    <row r="104" spans="1:19" ht="17.25" thickBot="1">
      <c r="A104" s="124" t="s">
        <v>130</v>
      </c>
      <c r="B104" s="125">
        <v>443250</v>
      </c>
      <c r="C104" s="73">
        <v>4.4784914600000003E-2</v>
      </c>
      <c r="D104" s="15">
        <v>484000</v>
      </c>
      <c r="E104" s="32">
        <f t="shared" ref="E104:E107" si="50">IF(ISNUMBER(D104), (D104 - $B104) / $B104, "")</f>
        <v>9.193457416807671E-2</v>
      </c>
      <c r="F104" s="18">
        <f>IF(ISNUMBER(D104), $B118 * E104, "")</f>
        <v>13790.186125211507</v>
      </c>
      <c r="G104" s="31">
        <v>485350</v>
      </c>
      <c r="H104" s="32">
        <f t="shared" ref="H104:H107" si="51">IF(ISNUMBER(G104), (G104 - $B104) / $B104, "")</f>
        <v>9.4980259447264528E-2</v>
      </c>
      <c r="I104" s="97">
        <f>IF(ISNUMBER(G104), $B118 * H104, "")</f>
        <v>14247.03891708968</v>
      </c>
      <c r="J104" s="15">
        <v>493850</v>
      </c>
      <c r="K104" s="32">
        <f t="shared" ref="K104:K107" si="52">IF(ISNUMBER(J104), (J104 - $B104) / $B104, "")</f>
        <v>0.11415679639029892</v>
      </c>
      <c r="L104" s="18">
        <f>IF(ISNUMBER(J104), $B118 * K104, "")</f>
        <v>17123.519458544837</v>
      </c>
      <c r="M104" s="31">
        <v>483500</v>
      </c>
      <c r="N104" s="32">
        <f t="shared" ref="N104:N107" si="53">IF(ISNUMBER(M104), (M104 - $B104) / $B104, "")</f>
        <v>9.0806542583192332E-2</v>
      </c>
      <c r="O104" s="18">
        <f>IF(ISNUMBER(M104), $B118 * N104, "")</f>
        <v>13620.981387478851</v>
      </c>
      <c r="Q104" s="275"/>
      <c r="R104" s="275"/>
      <c r="S104" s="275"/>
    </row>
    <row r="105" spans="1:19" ht="17.25" thickBot="1">
      <c r="A105" s="124" t="s">
        <v>240</v>
      </c>
      <c r="B105" s="125">
        <v>181</v>
      </c>
      <c r="C105" s="73">
        <v>2.2598870100000001E-2</v>
      </c>
      <c r="D105" s="15">
        <v>178</v>
      </c>
      <c r="E105" s="32">
        <f t="shared" si="50"/>
        <v>-1.6574585635359115E-2</v>
      </c>
      <c r="F105" s="18">
        <f>IF(ISNUMBER(D105), $B118 * E105, "")</f>
        <v>-2486.1878453038671</v>
      </c>
      <c r="G105" s="31">
        <v>176</v>
      </c>
      <c r="H105" s="32">
        <f t="shared" si="51"/>
        <v>-2.7624309392265192E-2</v>
      </c>
      <c r="I105" s="97">
        <f>IF(ISNUMBER(G105), $B118 * H105, "")</f>
        <v>-4143.6464088397788</v>
      </c>
      <c r="J105" s="15">
        <v>177</v>
      </c>
      <c r="K105" s="32">
        <f t="shared" si="52"/>
        <v>-2.2099447513812154E-2</v>
      </c>
      <c r="L105" s="18">
        <f>IF(ISNUMBER(J105), $B118 * K105, "")</f>
        <v>-3314.917127071823</v>
      </c>
      <c r="M105" s="31">
        <v>172</v>
      </c>
      <c r="N105" s="32">
        <f t="shared" si="53"/>
        <v>-4.9723756906077346E-2</v>
      </c>
      <c r="O105" s="18">
        <f>IF(ISNUMBER(M105), $B118 * N105, "")</f>
        <v>-7458.5635359116022</v>
      </c>
      <c r="Q105" s="275"/>
      <c r="R105" s="275"/>
      <c r="S105" s="275"/>
    </row>
    <row r="106" spans="1:19" ht="17.25" thickBot="1">
      <c r="A106" s="124" t="s">
        <v>208</v>
      </c>
      <c r="B106" s="125">
        <v>485</v>
      </c>
      <c r="C106" s="73">
        <v>1.46443515E-2</v>
      </c>
      <c r="D106" s="15">
        <v>480</v>
      </c>
      <c r="E106" s="32">
        <f t="shared" si="50"/>
        <v>-1.0309278350515464E-2</v>
      </c>
      <c r="F106" s="18">
        <f>IF(ISNUMBER(D106), $B118 * E106, "")</f>
        <v>-1546.3917525773195</v>
      </c>
      <c r="G106" s="31">
        <v>478</v>
      </c>
      <c r="H106" s="32">
        <f t="shared" si="51"/>
        <v>-1.443298969072165E-2</v>
      </c>
      <c r="I106" s="97">
        <f>IF(ISNUMBER(G106), $B118 * H106, "")</f>
        <v>-2164.9484536082477</v>
      </c>
      <c r="J106" s="15">
        <v>477</v>
      </c>
      <c r="K106" s="32">
        <f t="shared" si="52"/>
        <v>-1.6494845360824743E-2</v>
      </c>
      <c r="L106" s="18">
        <f>IF(ISNUMBER(J106), $B118 * K106, "")</f>
        <v>-2474.2268041237112</v>
      </c>
      <c r="M106" s="31">
        <v>474</v>
      </c>
      <c r="N106" s="32">
        <f t="shared" si="53"/>
        <v>-2.268041237113402E-2</v>
      </c>
      <c r="O106" s="18">
        <f>IF(ISNUMBER(M106), $B118 * N106, "")</f>
        <v>-3402.0618556701029</v>
      </c>
      <c r="Q106" s="33"/>
      <c r="R106" s="33"/>
    </row>
    <row r="107" spans="1:19" ht="17.25" thickBot="1">
      <c r="A107" s="129" t="s">
        <v>138</v>
      </c>
      <c r="B107" s="130">
        <v>49330</v>
      </c>
      <c r="C107" s="75">
        <v>1.37690095E-2</v>
      </c>
      <c r="D107" s="24">
        <v>49850</v>
      </c>
      <c r="E107" s="25">
        <f t="shared" si="50"/>
        <v>1.0541252787350497E-2</v>
      </c>
      <c r="F107" s="100">
        <f>IF(ISNUMBER(D107), $B118 * E107, "")</f>
        <v>1581.1879181025745</v>
      </c>
      <c r="G107" s="98">
        <v>49730</v>
      </c>
      <c r="H107" s="25">
        <f t="shared" si="51"/>
        <v>8.1086559902696122E-3</v>
      </c>
      <c r="I107" s="99">
        <f>IF(ISNUMBER(G107), $B118 * H107, "")</f>
        <v>1216.2983985404419</v>
      </c>
      <c r="J107" s="24">
        <v>49720</v>
      </c>
      <c r="K107" s="25">
        <f t="shared" si="52"/>
        <v>7.905939590512872E-3</v>
      </c>
      <c r="L107" s="100">
        <f>IF(ISNUMBER(J107), $B118 * K107, "")</f>
        <v>1185.8909385769307</v>
      </c>
      <c r="M107" s="98">
        <v>48910</v>
      </c>
      <c r="N107" s="25">
        <f t="shared" si="53"/>
        <v>-8.5140887897830926E-3</v>
      </c>
      <c r="O107" s="100">
        <f>IF(ISNUMBER(M107), $B118 * N107, "")</f>
        <v>-1277.1133184674638</v>
      </c>
      <c r="Q107" s="284"/>
      <c r="R107" s="285"/>
      <c r="S107" s="286"/>
    </row>
    <row r="108" spans="1:19">
      <c r="A108" s="122" t="s">
        <v>166</v>
      </c>
      <c r="B108" s="123">
        <v>2760</v>
      </c>
      <c r="C108" s="72">
        <v>1.28440367E-2</v>
      </c>
      <c r="D108" s="13">
        <v>2610</v>
      </c>
      <c r="E108" s="14">
        <f>IF(ISNUMBER(D108), (D108 - $B108) / $B108, "")</f>
        <v>-5.434782608695652E-2</v>
      </c>
      <c r="F108" s="16">
        <f>IF(ISNUMBER(D108), $B118 * E108, "")</f>
        <v>-8152.173913043478</v>
      </c>
      <c r="G108" s="29">
        <v>2620</v>
      </c>
      <c r="H108" s="14">
        <f>IF(ISNUMBER(G108), (G108 - $B108) / $B108, "")</f>
        <v>-5.0724637681159424E-2</v>
      </c>
      <c r="I108" s="96">
        <f>IF(ISNUMBER(G108), $B118 * H108, "")</f>
        <v>-7608.6956521739139</v>
      </c>
      <c r="J108" s="13">
        <v>2580</v>
      </c>
      <c r="K108" s="14">
        <f>IF(ISNUMBER(J108), (J108 - $B108) / $B108, "")</f>
        <v>-6.5217391304347824E-2</v>
      </c>
      <c r="L108" s="16">
        <f>IF(ISNUMBER(J108), $B118 * K108, "")</f>
        <v>-9782.608695652174</v>
      </c>
      <c r="M108" s="29">
        <v>2555</v>
      </c>
      <c r="N108" s="14">
        <f>IF(ISNUMBER(M108), (M108 - $B108) / $B108, "")</f>
        <v>-7.4275362318840576E-2</v>
      </c>
      <c r="O108" s="16">
        <f>IF(ISNUMBER(M108), $B118 * N108, "")</f>
        <v>-11141.304347826086</v>
      </c>
      <c r="Q108" s="287"/>
      <c r="R108" s="288"/>
      <c r="S108" s="289"/>
    </row>
    <row r="109" spans="1:19" ht="17.25" thickBot="1">
      <c r="A109" s="124" t="s">
        <v>150</v>
      </c>
      <c r="B109" s="125">
        <v>5915</v>
      </c>
      <c r="C109" s="73">
        <v>1.6934801000000001E-3</v>
      </c>
      <c r="D109" s="15">
        <v>6195</v>
      </c>
      <c r="E109" s="32">
        <f t="shared" ref="E109:E112" si="54">IF(ISNUMBER(D109), (D109 - $B109) / $B109, "")</f>
        <v>4.7337278106508875E-2</v>
      </c>
      <c r="F109" s="18">
        <f>IF(ISNUMBER(D109), $B118 * E109, "")</f>
        <v>7100.5917159763312</v>
      </c>
      <c r="G109" s="31">
        <v>6085</v>
      </c>
      <c r="H109" s="32">
        <f t="shared" ref="H109:H112" si="55">IF(ISNUMBER(G109), (G109 - $B109) / $B109, "")</f>
        <v>2.8740490278951817E-2</v>
      </c>
      <c r="I109" s="97">
        <f>IF(ISNUMBER(G109), $B118 * H109, "")</f>
        <v>4311.0735418427721</v>
      </c>
      <c r="J109" s="15">
        <v>6060</v>
      </c>
      <c r="K109" s="32">
        <f t="shared" ref="K109:K112" si="56">IF(ISNUMBER(J109), (J109 - $B109) / $B109, "")</f>
        <v>2.4513947590870666E-2</v>
      </c>
      <c r="L109" s="18">
        <f>IF(ISNUMBER(J109), $B118 * K109, "")</f>
        <v>3677.0921386305999</v>
      </c>
      <c r="M109" s="31">
        <v>6000</v>
      </c>
      <c r="N109" s="32">
        <f t="shared" ref="N109:N112" si="57">IF(ISNUMBER(M109), (M109 - $B109) / $B109, "")</f>
        <v>1.4370245139475908E-2</v>
      </c>
      <c r="O109" s="18">
        <f>IF(ISNUMBER(M109), $B118 * N109, "")</f>
        <v>2155.5367709213861</v>
      </c>
      <c r="Q109" s="290"/>
      <c r="R109" s="291"/>
      <c r="S109" s="292"/>
    </row>
    <row r="110" spans="1:19" ht="17.25" thickBot="1">
      <c r="A110" s="124" t="s">
        <v>63</v>
      </c>
      <c r="B110" s="125">
        <v>141600</v>
      </c>
      <c r="C110" s="73">
        <v>-2.1141648999999998E-3</v>
      </c>
      <c r="D110" s="15">
        <v>143700</v>
      </c>
      <c r="E110" s="32">
        <f t="shared" si="54"/>
        <v>1.4830508474576272E-2</v>
      </c>
      <c r="F110" s="18">
        <f>IF(ISNUMBER(D110), $B118 * E110, "")</f>
        <v>2224.5762711864409</v>
      </c>
      <c r="G110" s="31">
        <v>145500</v>
      </c>
      <c r="H110" s="32">
        <f t="shared" si="55"/>
        <v>2.7542372881355932E-2</v>
      </c>
      <c r="I110" s="97">
        <f>IF(ISNUMBER(G110), $B118 * H110, "")</f>
        <v>4131.3559322033898</v>
      </c>
      <c r="J110" s="15">
        <v>144650</v>
      </c>
      <c r="K110" s="32">
        <f t="shared" si="56"/>
        <v>2.1539548022598869E-2</v>
      </c>
      <c r="L110" s="18">
        <f>IF(ISNUMBER(J110), $B118 * K110, "")</f>
        <v>3230.9322033898302</v>
      </c>
      <c r="M110" s="31">
        <v>144650</v>
      </c>
      <c r="N110" s="32">
        <f t="shared" si="57"/>
        <v>2.1539548022598869E-2</v>
      </c>
      <c r="O110" s="18">
        <f>IF(ISNUMBER(M110), $B118 * N110, "")</f>
        <v>3230.9322033898302</v>
      </c>
      <c r="Q110" s="275"/>
      <c r="R110" s="275"/>
      <c r="S110" s="275"/>
    </row>
    <row r="111" spans="1:19" ht="17.25" thickBot="1">
      <c r="A111" s="124" t="s">
        <v>96</v>
      </c>
      <c r="B111" s="125">
        <v>4731000</v>
      </c>
      <c r="C111" s="73">
        <v>-6.5098698E-3</v>
      </c>
      <c r="D111" s="15">
        <v>4992000</v>
      </c>
      <c r="E111" s="32">
        <f t="shared" si="54"/>
        <v>5.5168040583386174E-2</v>
      </c>
      <c r="F111" s="18">
        <f>IF(ISNUMBER(D111), $B118 * E111, "")</f>
        <v>8275.206087507926</v>
      </c>
      <c r="G111" s="31">
        <v>5076000</v>
      </c>
      <c r="H111" s="32">
        <f t="shared" si="55"/>
        <v>7.2923272035510467E-2</v>
      </c>
      <c r="I111" s="97">
        <f>IF(ISNUMBER(G111), $B118 * H111, "")</f>
        <v>10938.49080532657</v>
      </c>
      <c r="J111" s="15">
        <v>5192000</v>
      </c>
      <c r="K111" s="32">
        <f t="shared" si="56"/>
        <v>9.7442401183682095E-2</v>
      </c>
      <c r="L111" s="18">
        <f>IF(ISNUMBER(J111), $B118 * K111, "")</f>
        <v>14616.360177552315</v>
      </c>
      <c r="M111" s="31">
        <v>5116000</v>
      </c>
      <c r="N111" s="32">
        <f t="shared" si="57"/>
        <v>8.1378144155569654E-2</v>
      </c>
      <c r="O111" s="18">
        <f>IF(ISNUMBER(M111), $B118 * N111, "")</f>
        <v>12206.721623335448</v>
      </c>
      <c r="Q111" s="270"/>
      <c r="R111" s="270"/>
      <c r="S111" s="270"/>
    </row>
    <row r="112" spans="1:19" ht="17.25" thickBot="1">
      <c r="A112" s="126" t="s">
        <v>132</v>
      </c>
      <c r="B112" s="127">
        <v>270</v>
      </c>
      <c r="C112" s="74">
        <v>-7.3529412000000001E-3</v>
      </c>
      <c r="D112" s="20">
        <v>280</v>
      </c>
      <c r="E112" s="21">
        <f t="shared" si="54"/>
        <v>3.7037037037037035E-2</v>
      </c>
      <c r="F112" s="22">
        <f>IF(ISNUMBER(D112), $B118 * E112, "")</f>
        <v>5555.5555555555557</v>
      </c>
      <c r="G112" s="30">
        <v>279</v>
      </c>
      <c r="H112" s="21">
        <f t="shared" si="55"/>
        <v>3.3333333333333333E-2</v>
      </c>
      <c r="I112" s="101">
        <f>IF(ISNUMBER(G112), $B118 * H112, "")</f>
        <v>5000</v>
      </c>
      <c r="J112" s="20">
        <v>278</v>
      </c>
      <c r="K112" s="21">
        <f t="shared" si="56"/>
        <v>2.9629629629629631E-2</v>
      </c>
      <c r="L112" s="22">
        <f>IF(ISNUMBER(J112), $B118 * K112, "")</f>
        <v>4444.4444444444443</v>
      </c>
      <c r="M112" s="30">
        <v>273</v>
      </c>
      <c r="N112" s="21">
        <f t="shared" si="57"/>
        <v>1.1111111111111112E-2</v>
      </c>
      <c r="O112" s="22">
        <f>IF(ISNUMBER(M112), $B118 * N112, "")</f>
        <v>1666.6666666666667</v>
      </c>
      <c r="Q112" s="270"/>
      <c r="R112" s="270"/>
      <c r="S112" s="270"/>
    </row>
    <row r="113" spans="1:19" ht="17.25" thickBot="1">
      <c r="A113" s="124" t="s">
        <v>65</v>
      </c>
      <c r="B113" s="128">
        <v>78</v>
      </c>
      <c r="C113" s="76">
        <v>-7.6335878000000001E-3</v>
      </c>
      <c r="D113" s="102">
        <v>77.599999999999994</v>
      </c>
      <c r="E113" s="103">
        <f>IF(ISNUMBER(D113), (D113 - $B113) / $B113, "")</f>
        <v>-5.1282051282052011E-3</v>
      </c>
      <c r="F113" s="104">
        <f>IF(ISNUMBER(D113), $B118 * E113, "")</f>
        <v>-769.2307692307802</v>
      </c>
      <c r="G113" s="105">
        <v>76.8</v>
      </c>
      <c r="H113" s="103">
        <f>IF(ISNUMBER(G113), (G113 - $B113) / $B113, "")</f>
        <v>-1.5384615384615422E-2</v>
      </c>
      <c r="I113" s="106">
        <f>IF(ISNUMBER(G113), $B118 * H113, "")</f>
        <v>-2307.6923076923131</v>
      </c>
      <c r="J113" s="102">
        <v>76.7</v>
      </c>
      <c r="K113" s="103">
        <f>IF(ISNUMBER(J113), (J113 - $B113) / $B113, "")</f>
        <v>-1.6666666666666632E-2</v>
      </c>
      <c r="L113" s="104">
        <f>IF(ISNUMBER(J113), $B118 * K113, "")</f>
        <v>-2499.9999999999945</v>
      </c>
      <c r="M113" s="105">
        <v>76.599999999999994</v>
      </c>
      <c r="N113" s="103">
        <f>IF(ISNUMBER(M113), (M113 - $B113) / $B113, "")</f>
        <v>-1.794871794871802E-2</v>
      </c>
      <c r="O113" s="104">
        <f>IF(ISNUMBER(M113), $B118 * N113, "")</f>
        <v>-2692.3076923077028</v>
      </c>
      <c r="Q113" s="275"/>
      <c r="R113" s="275"/>
      <c r="S113" s="275"/>
    </row>
    <row r="114" spans="1:19" ht="17.25" thickBot="1">
      <c r="A114" s="124" t="s">
        <v>51</v>
      </c>
      <c r="B114" s="125">
        <v>743</v>
      </c>
      <c r="C114" s="73">
        <v>-8.0106809000000008E-3</v>
      </c>
      <c r="D114" s="15">
        <v>815</v>
      </c>
      <c r="E114" s="32">
        <f t="shared" ref="E114:E117" si="58">IF(ISNUMBER(D114), (D114 - $B114) / $B114, "")</f>
        <v>9.6904441453566623E-2</v>
      </c>
      <c r="F114" s="18">
        <f>IF(ISNUMBER(D114), $B118 * E114, "")</f>
        <v>14535.666218034994</v>
      </c>
      <c r="G114" s="31">
        <v>963</v>
      </c>
      <c r="H114" s="32">
        <f t="shared" ref="H114:H117" si="59">IF(ISNUMBER(G114), (G114 - $B114) / $B114, "")</f>
        <v>0.29609690444145359</v>
      </c>
      <c r="I114" s="97">
        <f>IF(ISNUMBER(G114), $B118 * H114, "")</f>
        <v>44414.535666218042</v>
      </c>
      <c r="J114" s="15">
        <v>897</v>
      </c>
      <c r="K114" s="32">
        <f t="shared" ref="K114:K117" si="60">IF(ISNUMBER(J114), (J114 - $B114) / $B114, "")</f>
        <v>0.2072678331090175</v>
      </c>
      <c r="L114" s="18">
        <f>IF(ISNUMBER(J114), $B118 * K114, "")</f>
        <v>31090.174966352624</v>
      </c>
      <c r="M114" s="31">
        <v>900</v>
      </c>
      <c r="N114" s="32">
        <f t="shared" ref="N114:N117" si="61">IF(ISNUMBER(M114), (M114 - $B114) / $B114, "")</f>
        <v>0.21130551816958276</v>
      </c>
      <c r="O114" s="18">
        <f>IF(ISNUMBER(M114), $B118 * N114, "")</f>
        <v>31695.827725437415</v>
      </c>
      <c r="Q114" s="275"/>
      <c r="R114" s="275"/>
      <c r="S114" s="275"/>
    </row>
    <row r="115" spans="1:19" ht="17.25" thickBot="1">
      <c r="A115" s="124" t="s">
        <v>226</v>
      </c>
      <c r="B115" s="125">
        <v>493</v>
      </c>
      <c r="C115" s="73">
        <v>-8.0482897000000008E-3</v>
      </c>
      <c r="D115" s="15">
        <v>496</v>
      </c>
      <c r="E115" s="32">
        <f t="shared" si="58"/>
        <v>6.0851926977687626E-3</v>
      </c>
      <c r="F115" s="18">
        <f>IF(ISNUMBER(D115), $B118 * E115, "")</f>
        <v>912.77890466531437</v>
      </c>
      <c r="G115" s="31">
        <v>498</v>
      </c>
      <c r="H115" s="32">
        <f t="shared" si="59"/>
        <v>1.0141987829614604E-2</v>
      </c>
      <c r="I115" s="97">
        <f>IF(ISNUMBER(G115), $B118 * H115, "")</f>
        <v>1521.2981744421907</v>
      </c>
      <c r="J115" s="15">
        <v>494</v>
      </c>
      <c r="K115" s="32">
        <f t="shared" si="60"/>
        <v>2.0283975659229209E-3</v>
      </c>
      <c r="L115" s="18">
        <f>IF(ISNUMBER(J115), $B118 * K115, "")</f>
        <v>304.25963488843814</v>
      </c>
      <c r="M115" s="31">
        <v>491</v>
      </c>
      <c r="N115" s="32">
        <f t="shared" si="61"/>
        <v>-4.0567951318458417E-3</v>
      </c>
      <c r="O115" s="18">
        <f>IF(ISNUMBER(M115), $B118 * N115, "")</f>
        <v>-608.51926977687629</v>
      </c>
      <c r="Q115" s="275"/>
      <c r="R115" s="275"/>
      <c r="S115" s="275"/>
    </row>
    <row r="116" spans="1:19">
      <c r="A116" s="124" t="s">
        <v>148</v>
      </c>
      <c r="B116" s="125">
        <v>194</v>
      </c>
      <c r="C116" s="73">
        <v>-1.02040816E-2</v>
      </c>
      <c r="D116" s="15">
        <v>192</v>
      </c>
      <c r="E116" s="32">
        <f t="shared" si="58"/>
        <v>-1.0309278350515464E-2</v>
      </c>
      <c r="F116" s="18">
        <f>IF(ISNUMBER(D116), $B118 * E116, "")</f>
        <v>-1546.3917525773195</v>
      </c>
      <c r="G116" s="31">
        <v>194</v>
      </c>
      <c r="H116" s="32">
        <f t="shared" si="59"/>
        <v>0</v>
      </c>
      <c r="I116" s="97">
        <f>IF(ISNUMBER(G116), $B118 * H116, "")</f>
        <v>0</v>
      </c>
      <c r="J116" s="15">
        <v>194</v>
      </c>
      <c r="K116" s="32">
        <f t="shared" si="60"/>
        <v>0</v>
      </c>
      <c r="L116" s="18">
        <f>IF(ISNUMBER(J116), $B118 * K116, "")</f>
        <v>0</v>
      </c>
      <c r="M116" s="31">
        <v>193</v>
      </c>
      <c r="N116" s="32">
        <f t="shared" si="61"/>
        <v>-5.1546391752577319E-3</v>
      </c>
      <c r="O116" s="18">
        <f>IF(ISNUMBER(M116), $B118 * N116, "")</f>
        <v>-773.19587628865975</v>
      </c>
      <c r="Q116" s="297"/>
      <c r="R116" s="298"/>
      <c r="S116" s="299"/>
    </row>
    <row r="117" spans="1:19" ht="17.25" thickBot="1">
      <c r="A117" s="129" t="s">
        <v>118</v>
      </c>
      <c r="B117" s="130">
        <v>7600</v>
      </c>
      <c r="C117" s="75">
        <v>-1.10605075E-2</v>
      </c>
      <c r="D117" s="24">
        <v>7490</v>
      </c>
      <c r="E117" s="25">
        <f t="shared" si="58"/>
        <v>-1.4473684210526316E-2</v>
      </c>
      <c r="F117" s="100">
        <f>IF(ISNUMBER(D117), $B118 * E117, "")</f>
        <v>-2171.0526315789475</v>
      </c>
      <c r="G117" s="98">
        <v>8050</v>
      </c>
      <c r="H117" s="25">
        <f t="shared" si="59"/>
        <v>5.921052631578947E-2</v>
      </c>
      <c r="I117" s="99">
        <f>IF(ISNUMBER(G117), $B118 * H117, "")</f>
        <v>8881.5789473684199</v>
      </c>
      <c r="J117" s="24">
        <v>8215</v>
      </c>
      <c r="K117" s="25">
        <f t="shared" si="60"/>
        <v>8.0921052631578949E-2</v>
      </c>
      <c r="L117" s="100">
        <f>IF(ISNUMBER(J117), $B118 * K117, "")</f>
        <v>12138.157894736842</v>
      </c>
      <c r="M117" s="98">
        <v>7955</v>
      </c>
      <c r="N117" s="25">
        <f t="shared" si="61"/>
        <v>4.6710526315789473E-2</v>
      </c>
      <c r="O117" s="100">
        <f>IF(ISNUMBER(M117), $B118 * N117, "")</f>
        <v>7006.5789473684208</v>
      </c>
      <c r="Q117" s="300"/>
      <c r="R117" s="301"/>
      <c r="S117" s="302"/>
    </row>
    <row r="118" spans="1:19" ht="17.25" thickBot="1">
      <c r="A118" s="131" t="s">
        <v>301</v>
      </c>
      <c r="B118" s="308">
        <f>$B$37</f>
        <v>150000</v>
      </c>
      <c r="C118" s="309"/>
      <c r="D118" s="26" t="s">
        <v>302</v>
      </c>
      <c r="E118" s="27">
        <f>IF(COUNT(E98:E117), SUM(E98:E117) / COUNT(E98:E117), 0)</f>
        <v>3.6217423723458085E-3</v>
      </c>
      <c r="F118" s="28">
        <f>SUM(F98:F117)</f>
        <v>10865.22711703743</v>
      </c>
      <c r="G118" s="26" t="s">
        <v>302</v>
      </c>
      <c r="H118" s="27">
        <f>IF(COUNT(H98:H117), SUM(H98:H117) / COUNT(H98:H117), 0)</f>
        <v>1.9661796407249688E-2</v>
      </c>
      <c r="I118" s="28">
        <f>SUM(I98:I117)</f>
        <v>58985.389221749065</v>
      </c>
      <c r="J118" s="26" t="s">
        <v>302</v>
      </c>
      <c r="K118" s="27">
        <f>IF(COUNT(K98:K117), SUM(K98:K117) / COUNT(K98:K117), 0)</f>
        <v>1.573796214394934E-2</v>
      </c>
      <c r="L118" s="28">
        <f>SUM(L98:L117)</f>
        <v>47213.886431848026</v>
      </c>
      <c r="M118" s="26" t="s">
        <v>302</v>
      </c>
      <c r="N118" s="27">
        <f>IF(COUNT(N98:N117), SUM(N98:N117) / COUNT(N98:N117), 0)</f>
        <v>3.3657034243257779E-3</v>
      </c>
      <c r="O118" s="28">
        <f>SUM(O98:O117)</f>
        <v>10097.110272977328</v>
      </c>
      <c r="Q118" s="303"/>
      <c r="R118" s="304"/>
      <c r="S118" s="305"/>
    </row>
    <row r="120" spans="1:19" ht="17.25" thickBot="1"/>
    <row r="121" spans="1:19" ht="17.25" thickBot="1">
      <c r="A121" s="249" t="s">
        <v>288</v>
      </c>
      <c r="B121" s="250"/>
      <c r="C121" s="250"/>
      <c r="D121" s="250"/>
      <c r="E121" s="250"/>
      <c r="F121" s="250"/>
      <c r="G121" s="250"/>
      <c r="H121" s="250"/>
      <c r="I121" s="250"/>
      <c r="J121" s="250"/>
      <c r="K121" s="250"/>
      <c r="L121" s="250"/>
      <c r="M121" s="250"/>
      <c r="N121" s="250"/>
      <c r="O121" s="251"/>
      <c r="Q121" s="270"/>
      <c r="R121" s="270"/>
      <c r="S121" s="270"/>
    </row>
    <row r="122" spans="1:19" ht="17.25" thickBot="1">
      <c r="A122" s="175" t="s">
        <v>298</v>
      </c>
      <c r="B122" s="249" t="s">
        <v>49</v>
      </c>
      <c r="C122" s="251"/>
      <c r="D122" s="249" t="s">
        <v>58</v>
      </c>
      <c r="E122" s="250"/>
      <c r="F122" s="251"/>
      <c r="G122" s="276">
        <f>_xlfn.IFNA(VLOOKUP(B122, 현재가테이블!$B$2:$D$200, 2, FALSE), "-")</f>
        <v>60874000</v>
      </c>
      <c r="H122" s="277"/>
      <c r="I122" s="278"/>
      <c r="J122" s="249" t="s">
        <v>59</v>
      </c>
      <c r="K122" s="250"/>
      <c r="L122" s="251"/>
      <c r="M122" s="279">
        <f>_xlfn.IFNA(VLOOKUP(B122, 현재가테이블!$B$2:$D$200, 3, FALSE), "-")</f>
        <v>-1.4936000099999999E-2</v>
      </c>
      <c r="N122" s="280"/>
      <c r="O122" s="281"/>
      <c r="Q122" s="270"/>
      <c r="R122" s="270"/>
      <c r="S122" s="270"/>
    </row>
    <row r="123" spans="1:19" ht="17.25" thickBot="1">
      <c r="A123" s="310" t="s">
        <v>55</v>
      </c>
      <c r="B123" s="312" t="str">
        <f>TEXT($G$1, "[$-ko-KR]yyyy-mm-dd(ddd) ") &amp; "오전 00:00"</f>
        <v>2021-05-10(월) 오전 00:00</v>
      </c>
      <c r="C123" s="313"/>
      <c r="D123" s="272" t="str">
        <f>TEXT($G$1, "[$-ko-KR]yyyy-mm-dd(ddd) ") &amp; "오후 14:00"</f>
        <v>2021-05-10(월) 오후 14:00</v>
      </c>
      <c r="E123" s="273"/>
      <c r="F123" s="274"/>
      <c r="G123" s="272" t="str">
        <f>TEXT($G$1, "[$-ko-KR]yyyy-mm-dd(ddd) ") &amp; "오후 19:00"</f>
        <v>2021-05-10(월) 오후 19:00</v>
      </c>
      <c r="H123" s="273"/>
      <c r="I123" s="274"/>
      <c r="J123" s="272" t="str">
        <f>TEXT($G$1, "[$-ko-KR]yyyy-mm-dd(ddd) ") &amp; "오후 21:00"</f>
        <v>2021-05-10(월) 오후 21:00</v>
      </c>
      <c r="K123" s="273"/>
      <c r="L123" s="274"/>
      <c r="M123" s="272" t="str">
        <f>TEXT($G$1+1, "[$-ko-KR]yyyy-mm-dd(ddd) ") &amp; "오전 00:00"</f>
        <v>2021-05-11(화) 오전 00:00</v>
      </c>
      <c r="N123" s="273"/>
      <c r="O123" s="274"/>
      <c r="Q123" s="270"/>
      <c r="R123" s="270"/>
      <c r="S123" s="270"/>
    </row>
    <row r="124" spans="1:19" ht="17.25" thickBot="1">
      <c r="A124" s="311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76" t="s">
        <v>58</v>
      </c>
      <c r="H124" s="177" t="s">
        <v>299</v>
      </c>
      <c r="I124" s="178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75"/>
      <c r="R124" s="275"/>
      <c r="S124" s="275"/>
    </row>
    <row r="125" spans="1:19" ht="17.25" thickBot="1">
      <c r="A125" s="122" t="s">
        <v>65</v>
      </c>
      <c r="B125" s="123">
        <v>78</v>
      </c>
      <c r="C125" s="72">
        <v>-7.6335878000000001E-3</v>
      </c>
      <c r="D125" s="13">
        <v>77.599999999999994</v>
      </c>
      <c r="E125" s="14">
        <f>IF(ISNUMBER(D125), (D125 - $B125) / $B125, "")</f>
        <v>-5.1282051282052011E-3</v>
      </c>
      <c r="F125" s="16">
        <f>IF(ISNUMBER(D125), $B145 * E125, "")</f>
        <v>-769.2307692307802</v>
      </c>
      <c r="G125" s="29">
        <v>76.8</v>
      </c>
      <c r="H125" s="14">
        <f>IF(ISNUMBER(G125), (G125 - $B125) / $B125, "")</f>
        <v>-1.5384615384615422E-2</v>
      </c>
      <c r="I125" s="96">
        <f>IF(ISNUMBER(G125), $B145 * H125, "")</f>
        <v>-2307.6923076923131</v>
      </c>
      <c r="J125" s="13">
        <v>76.7</v>
      </c>
      <c r="K125" s="14">
        <f>IF(ISNUMBER(J125), (J125 - $B125) / $B125, "")</f>
        <v>-1.6666666666666632E-2</v>
      </c>
      <c r="L125" s="16">
        <f>IF(ISNUMBER(J125), $B145 * K125, "")</f>
        <v>-2499.9999999999945</v>
      </c>
      <c r="M125" s="29">
        <v>76.599999999999994</v>
      </c>
      <c r="N125" s="14">
        <f>IF(ISNUMBER(M125), (M125 - $B125) / $B125, "")</f>
        <v>-1.794871794871802E-2</v>
      </c>
      <c r="O125" s="16">
        <f>IF(ISNUMBER(M125), $B145 * N125, "")</f>
        <v>-2692.3076923077028</v>
      </c>
      <c r="Q125" s="270"/>
      <c r="R125" s="270"/>
      <c r="S125" s="270"/>
    </row>
    <row r="126" spans="1:19" ht="17.25" thickBot="1">
      <c r="A126" s="124" t="s">
        <v>154</v>
      </c>
      <c r="B126" s="125">
        <v>20.100000000000001</v>
      </c>
      <c r="C126" s="73">
        <v>-2.42718447E-2</v>
      </c>
      <c r="D126" s="15">
        <v>20.3</v>
      </c>
      <c r="E126" s="32">
        <f t="shared" ref="E126:E129" si="62">IF(ISNUMBER(D126), (D126 - $B126) / $B126, "")</f>
        <v>9.9502487562188689E-3</v>
      </c>
      <c r="F126" s="18">
        <f>IF(ISNUMBER(D126), $B145 * E126, "")</f>
        <v>1492.5373134328304</v>
      </c>
      <c r="G126" s="31">
        <v>20.3</v>
      </c>
      <c r="H126" s="32">
        <f t="shared" ref="H126:H129" si="63">IF(ISNUMBER(G126), (G126 - $B126) / $B126, "")</f>
        <v>9.9502487562188689E-3</v>
      </c>
      <c r="I126" s="97">
        <f>IF(ISNUMBER(G126), $B145 * H126, "")</f>
        <v>1492.5373134328304</v>
      </c>
      <c r="J126" s="15">
        <v>20.2</v>
      </c>
      <c r="K126" s="32">
        <f t="shared" ref="K126:K129" si="64">IF(ISNUMBER(J126), (J126 - $B126) / $B126, "")</f>
        <v>4.975124378109346E-3</v>
      </c>
      <c r="L126" s="18">
        <f>IF(ISNUMBER(J126), $B145 * K126, "")</f>
        <v>746.26865671640189</v>
      </c>
      <c r="M126" s="31">
        <v>20.100000000000001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70"/>
      <c r="R126" s="270"/>
      <c r="S126" s="270"/>
    </row>
    <row r="127" spans="1:19" ht="17.25" thickBot="1">
      <c r="A127" s="124" t="s">
        <v>220</v>
      </c>
      <c r="B127" s="125">
        <v>19.7</v>
      </c>
      <c r="C127" s="73">
        <v>-2.9556650199999999E-2</v>
      </c>
      <c r="D127" s="15">
        <v>19.8</v>
      </c>
      <c r="E127" s="32">
        <f t="shared" si="62"/>
        <v>5.0761421319797679E-3</v>
      </c>
      <c r="F127" s="18">
        <f>IF(ISNUMBER(D127), $B145 * E127, "")</f>
        <v>761.42131979696524</v>
      </c>
      <c r="G127" s="31">
        <v>19.8</v>
      </c>
      <c r="H127" s="32">
        <f t="shared" si="63"/>
        <v>5.0761421319797679E-3</v>
      </c>
      <c r="I127" s="97">
        <f>IF(ISNUMBER(G127), $B145 * H127, "")</f>
        <v>761.42131979696524</v>
      </c>
      <c r="J127" s="15">
        <v>19.7</v>
      </c>
      <c r="K127" s="32">
        <f t="shared" si="64"/>
        <v>0</v>
      </c>
      <c r="L127" s="18">
        <f>IF(ISNUMBER(J127), $B145 * K127, "")</f>
        <v>0</v>
      </c>
      <c r="M127" s="31">
        <v>19.5</v>
      </c>
      <c r="N127" s="32">
        <f t="shared" si="65"/>
        <v>-1.0152284263959355E-2</v>
      </c>
      <c r="O127" s="18">
        <f>IF(ISNUMBER(M127), $B145 * N127, "")</f>
        <v>-1522.8426395939034</v>
      </c>
      <c r="Q127" s="275"/>
      <c r="R127" s="275"/>
      <c r="S127" s="275"/>
    </row>
    <row r="128" spans="1:19" ht="17.25" thickBot="1">
      <c r="A128" s="124" t="s">
        <v>126</v>
      </c>
      <c r="B128" s="125">
        <v>58.7</v>
      </c>
      <c r="C128" s="73">
        <v>-2.9752066099999998E-2</v>
      </c>
      <c r="D128" s="15">
        <v>58.6</v>
      </c>
      <c r="E128" s="32">
        <f t="shared" si="62"/>
        <v>-1.7035775127768554E-3</v>
      </c>
      <c r="F128" s="18">
        <f>IF(ISNUMBER(D128), $B145 * E128, "")</f>
        <v>-255.53662691652832</v>
      </c>
      <c r="G128" s="31">
        <v>58.9</v>
      </c>
      <c r="H128" s="32">
        <f t="shared" si="63"/>
        <v>3.4071550255535899E-3</v>
      </c>
      <c r="I128" s="97">
        <f>IF(ISNUMBER(G128), $B145 * H128, "")</f>
        <v>511.07325383303851</v>
      </c>
      <c r="J128" s="15">
        <v>58.2</v>
      </c>
      <c r="K128" s="32">
        <f t="shared" si="64"/>
        <v>-8.5178875638841564E-3</v>
      </c>
      <c r="L128" s="18">
        <f>IF(ISNUMBER(J128), $B145 * K128, "")</f>
        <v>-1277.6831345826236</v>
      </c>
      <c r="M128" s="31">
        <v>57.7</v>
      </c>
      <c r="N128" s="32">
        <f t="shared" si="65"/>
        <v>-1.7035775127768313E-2</v>
      </c>
      <c r="O128" s="18">
        <f>IF(ISNUMBER(M128), $B145 * N128, "")</f>
        <v>-2555.3662691652471</v>
      </c>
      <c r="Q128" s="275"/>
      <c r="R128" s="275"/>
      <c r="S128" s="275"/>
    </row>
    <row r="129" spans="1:19" ht="17.25" thickBot="1">
      <c r="A129" s="126" t="s">
        <v>266</v>
      </c>
      <c r="B129" s="127">
        <v>89.9</v>
      </c>
      <c r="C129" s="74">
        <v>-3.2292787900000001E-2</v>
      </c>
      <c r="D129" s="20">
        <v>91.6</v>
      </c>
      <c r="E129" s="21">
        <f t="shared" si="62"/>
        <v>1.8909899888765166E-2</v>
      </c>
      <c r="F129" s="22">
        <f>IF(ISNUMBER(D129), $B145 * E129, "")</f>
        <v>2836.484983314775</v>
      </c>
      <c r="G129" s="30">
        <v>91.5</v>
      </c>
      <c r="H129" s="21">
        <f t="shared" si="63"/>
        <v>1.7797552836484917E-2</v>
      </c>
      <c r="I129" s="101">
        <f>IF(ISNUMBER(G129), $B145 * H129, "")</f>
        <v>2669.6329254727375</v>
      </c>
      <c r="J129" s="20">
        <v>91.3</v>
      </c>
      <c r="K129" s="21">
        <f t="shared" si="64"/>
        <v>1.5572858731924264E-2</v>
      </c>
      <c r="L129" s="22">
        <f>IF(ISNUMBER(J129), $B145 * K129, "")</f>
        <v>2335.9288097886397</v>
      </c>
      <c r="M129" s="30">
        <v>90.8</v>
      </c>
      <c r="N129" s="21">
        <f t="shared" si="65"/>
        <v>1.0011123470522708E-2</v>
      </c>
      <c r="O129" s="22">
        <f>IF(ISNUMBER(M129), $B145 * N129, "")</f>
        <v>1501.6685205784063</v>
      </c>
      <c r="Q129" s="275"/>
      <c r="R129" s="275"/>
      <c r="S129" s="275"/>
    </row>
    <row r="130" spans="1:19" ht="17.25" thickBot="1">
      <c r="A130" s="124" t="s">
        <v>152</v>
      </c>
      <c r="B130" s="128">
        <v>47.4</v>
      </c>
      <c r="C130" s="76">
        <v>-3.8539553800000001E-2</v>
      </c>
      <c r="D130" s="102">
        <v>47.9</v>
      </c>
      <c r="E130" s="103">
        <f>IF(ISNUMBER(D130), (D130 - $B130) / $B130, "")</f>
        <v>1.0548523206751054E-2</v>
      </c>
      <c r="F130" s="104">
        <f>IF(ISNUMBER(D130), $B145 * E130, "")</f>
        <v>1582.2784810126582</v>
      </c>
      <c r="G130" s="105">
        <v>47.7</v>
      </c>
      <c r="H130" s="103">
        <f>IF(ISNUMBER(G130), (G130 - $B130) / $B130, "")</f>
        <v>6.329113924050723E-3</v>
      </c>
      <c r="I130" s="106">
        <f>IF(ISNUMBER(G130), $B145 * H130, "")</f>
        <v>949.36708860760848</v>
      </c>
      <c r="J130" s="102">
        <v>47.4</v>
      </c>
      <c r="K130" s="103">
        <f>IF(ISNUMBER(J130), (J130 - $B130) / $B130, "")</f>
        <v>0</v>
      </c>
      <c r="L130" s="104">
        <f>IF(ISNUMBER(J130), $B145 * K130, "")</f>
        <v>0</v>
      </c>
      <c r="M130" s="105">
        <v>46.4</v>
      </c>
      <c r="N130" s="103">
        <f>IF(ISNUMBER(M130), (M130 - $B130) / $B130, "")</f>
        <v>-2.1097046413502109E-2</v>
      </c>
      <c r="O130" s="104">
        <f>IF(ISNUMBER(M130), $B145 * N130, "")</f>
        <v>-3164.5569620253164</v>
      </c>
      <c r="Q130" s="275"/>
      <c r="R130" s="275"/>
      <c r="S130" s="275"/>
    </row>
    <row r="131" spans="1:19" ht="17.25" thickBot="1">
      <c r="A131" s="124" t="s">
        <v>186</v>
      </c>
      <c r="B131" s="125">
        <v>23.6</v>
      </c>
      <c r="C131" s="73">
        <v>-4.06504065E-2</v>
      </c>
      <c r="D131" s="15">
        <v>24</v>
      </c>
      <c r="E131" s="32">
        <f t="shared" ref="E131:E134" si="66">IF(ISNUMBER(D131), (D131 - $B131) / $B131, "")</f>
        <v>1.6949152542372819E-2</v>
      </c>
      <c r="F131" s="18">
        <f>IF(ISNUMBER(D131), $B145 * E131, "")</f>
        <v>2542.3728813559228</v>
      </c>
      <c r="G131" s="31">
        <v>24</v>
      </c>
      <c r="H131" s="32">
        <f t="shared" ref="H131:H134" si="67">IF(ISNUMBER(G131), (G131 - $B131) / $B131, "")</f>
        <v>1.6949152542372819E-2</v>
      </c>
      <c r="I131" s="97">
        <f>IF(ISNUMBER(G131), $B145 * H131, "")</f>
        <v>2542.3728813559228</v>
      </c>
      <c r="J131" s="15">
        <v>24</v>
      </c>
      <c r="K131" s="32">
        <f t="shared" ref="K131:K134" si="68">IF(ISNUMBER(J131), (J131 - $B131) / $B131, "")</f>
        <v>1.6949152542372819E-2</v>
      </c>
      <c r="L131" s="18">
        <f>IF(ISNUMBER(J131), $B145 * K131, "")</f>
        <v>2542.3728813559228</v>
      </c>
      <c r="M131" s="31">
        <v>23.8</v>
      </c>
      <c r="N131" s="32">
        <f t="shared" ref="N131:N134" si="69">IF(ISNUMBER(M131), (M131 - $B131) / $B131, "")</f>
        <v>8.4745762711864094E-3</v>
      </c>
      <c r="O131" s="18">
        <f>IF(ISNUMBER(M131), $B145 * N131, "")</f>
        <v>1271.1864406779614</v>
      </c>
      <c r="Q131" s="275"/>
      <c r="R131" s="275"/>
      <c r="S131" s="275"/>
    </row>
    <row r="132" spans="1:19" ht="17.25" thickBot="1">
      <c r="A132" s="124" t="s">
        <v>268</v>
      </c>
      <c r="B132" s="125">
        <v>87.9</v>
      </c>
      <c r="C132" s="73">
        <v>-4.2483660100000001E-2</v>
      </c>
      <c r="D132" s="15">
        <v>88.1</v>
      </c>
      <c r="E132" s="32">
        <f t="shared" si="66"/>
        <v>2.2753128555175043E-3</v>
      </c>
      <c r="F132" s="18">
        <f>IF(ISNUMBER(D132), $B145 * E132, "")</f>
        <v>341.29692832762566</v>
      </c>
      <c r="G132" s="31">
        <v>88.1</v>
      </c>
      <c r="H132" s="32">
        <f t="shared" si="67"/>
        <v>2.2753128555175043E-3</v>
      </c>
      <c r="I132" s="97">
        <f>IF(ISNUMBER(G132), $B145 * H132, "")</f>
        <v>341.29692832762566</v>
      </c>
      <c r="J132" s="15">
        <v>89</v>
      </c>
      <c r="K132" s="32">
        <f t="shared" si="68"/>
        <v>1.2514220705346919E-2</v>
      </c>
      <c r="L132" s="18">
        <f>IF(ISNUMBER(J132), $B145 * K132, "")</f>
        <v>1877.1331058020378</v>
      </c>
      <c r="M132" s="31">
        <v>87</v>
      </c>
      <c r="N132" s="32">
        <f t="shared" si="69"/>
        <v>-1.0238907849829415E-2</v>
      </c>
      <c r="O132" s="18">
        <f>IF(ISNUMBER(M132), $B145 * N132, "")</f>
        <v>-1535.8361774744124</v>
      </c>
      <c r="Q132" s="275"/>
      <c r="R132" s="275"/>
      <c r="S132" s="275"/>
    </row>
    <row r="133" spans="1:19" ht="17.25" thickBot="1">
      <c r="A133" s="124" t="s">
        <v>222</v>
      </c>
      <c r="B133" s="125">
        <v>17.600000000000001</v>
      </c>
      <c r="C133" s="73">
        <v>-4.3478260900000003E-2</v>
      </c>
      <c r="D133" s="15">
        <v>17.7</v>
      </c>
      <c r="E133" s="32">
        <f t="shared" si="66"/>
        <v>5.6818181818180605E-3</v>
      </c>
      <c r="F133" s="18">
        <f>IF(ISNUMBER(D133), $B145 * E133, "")</f>
        <v>852.27272727270906</v>
      </c>
      <c r="G133" s="31">
        <v>18.100000000000001</v>
      </c>
      <c r="H133" s="32">
        <f t="shared" si="67"/>
        <v>2.8409090909090908E-2</v>
      </c>
      <c r="I133" s="97">
        <f>IF(ISNUMBER(G133), $B145 * H133, "")</f>
        <v>4261.363636363636</v>
      </c>
      <c r="J133" s="15">
        <v>18.2</v>
      </c>
      <c r="K133" s="32">
        <f t="shared" si="68"/>
        <v>3.409090909090897E-2</v>
      </c>
      <c r="L133" s="18">
        <f>IF(ISNUMBER(J133), $B145 * K133, "")</f>
        <v>5113.6363636363458</v>
      </c>
      <c r="M133" s="31">
        <v>17.899999999999999</v>
      </c>
      <c r="N133" s="32">
        <f t="shared" si="69"/>
        <v>1.7045454545454381E-2</v>
      </c>
      <c r="O133" s="18">
        <f>IF(ISNUMBER(M133), $B145 * N133, "")</f>
        <v>2556.818181818157</v>
      </c>
      <c r="Q133" s="33"/>
      <c r="R133" s="33"/>
    </row>
    <row r="134" spans="1:19" ht="17.25" thickBot="1">
      <c r="A134" s="129" t="s">
        <v>228</v>
      </c>
      <c r="B134" s="130">
        <v>17.3</v>
      </c>
      <c r="C134" s="75">
        <v>-4.4198895000000002E-2</v>
      </c>
      <c r="D134" s="24">
        <v>17.8</v>
      </c>
      <c r="E134" s="25">
        <f t="shared" si="66"/>
        <v>2.8901734104046242E-2</v>
      </c>
      <c r="F134" s="100">
        <f>IF(ISNUMBER(D134), $B145 * E134, "")</f>
        <v>4335.2601156069368</v>
      </c>
      <c r="G134" s="98">
        <v>18.600000000000001</v>
      </c>
      <c r="H134" s="25">
        <f t="shared" si="67"/>
        <v>7.5144508670520263E-2</v>
      </c>
      <c r="I134" s="99">
        <f>IF(ISNUMBER(G134), $B145 * H134, "")</f>
        <v>11271.676300578039</v>
      </c>
      <c r="J134" s="24">
        <v>18.399999999999999</v>
      </c>
      <c r="K134" s="25">
        <f t="shared" si="68"/>
        <v>6.3583815028901605E-2</v>
      </c>
      <c r="L134" s="100">
        <f>IF(ISNUMBER(J134), $B145 * K134, "")</f>
        <v>9537.5722543352404</v>
      </c>
      <c r="M134" s="98">
        <v>18.2</v>
      </c>
      <c r="N134" s="25">
        <f t="shared" si="69"/>
        <v>5.2023121387283155E-2</v>
      </c>
      <c r="O134" s="100">
        <f>IF(ISNUMBER(M134), $B145 * N134, "")</f>
        <v>7803.4682080924731</v>
      </c>
      <c r="Q134" s="284"/>
      <c r="R134" s="285"/>
      <c r="S134" s="286"/>
    </row>
    <row r="135" spans="1:19">
      <c r="A135" s="122" t="s">
        <v>196</v>
      </c>
      <c r="B135" s="123">
        <v>19.2</v>
      </c>
      <c r="C135" s="72">
        <v>-4.4776119400000002E-2</v>
      </c>
      <c r="D135" s="13">
        <v>19.2</v>
      </c>
      <c r="E135" s="14">
        <f>IF(ISNUMBER(D135), (D135 - $B135) / $B135, "")</f>
        <v>0</v>
      </c>
      <c r="F135" s="16">
        <f>IF(ISNUMBER(D135), $B145 * E135, "")</f>
        <v>0</v>
      </c>
      <c r="G135" s="29">
        <v>19.399999999999999</v>
      </c>
      <c r="H135" s="14">
        <f>IF(ISNUMBER(G135), (G135 - $B135) / $B135, "")</f>
        <v>1.041666666666663E-2</v>
      </c>
      <c r="I135" s="96">
        <f>IF(ISNUMBER(G135), $B145 * H135, "")</f>
        <v>1562.4999999999945</v>
      </c>
      <c r="J135" s="13">
        <v>19.2</v>
      </c>
      <c r="K135" s="14">
        <f>IF(ISNUMBER(J135), (J135 - $B135) / $B135, "")</f>
        <v>0</v>
      </c>
      <c r="L135" s="16">
        <f>IF(ISNUMBER(J135), $B145 * K135, "")</f>
        <v>0</v>
      </c>
      <c r="M135" s="29">
        <v>19.2</v>
      </c>
      <c r="N135" s="14">
        <f>IF(ISNUMBER(M135), (M135 - $B135) / $B135, "")</f>
        <v>0</v>
      </c>
      <c r="O135" s="16">
        <f>IF(ISNUMBER(M135), $B145 * N135, "")</f>
        <v>0</v>
      </c>
      <c r="Q135" s="287"/>
      <c r="R135" s="288"/>
      <c r="S135" s="289"/>
    </row>
    <row r="136" spans="1:19" ht="17.25" thickBot="1">
      <c r="A136" s="124" t="s">
        <v>100</v>
      </c>
      <c r="B136" s="125">
        <v>8.7200000000000006</v>
      </c>
      <c r="C136" s="73">
        <v>-4.4906900299999997E-2</v>
      </c>
      <c r="D136" s="15">
        <v>8.81</v>
      </c>
      <c r="E136" s="32">
        <f t="shared" ref="E136:E139" si="70">IF(ISNUMBER(D136), (D136 - $B136) / $B136, "")</f>
        <v>1.0321100917431176E-2</v>
      </c>
      <c r="F136" s="18">
        <f>IF(ISNUMBER(D136), $B145 * E136, "")</f>
        <v>1548.1651376146765</v>
      </c>
      <c r="G136" s="31">
        <v>8.73</v>
      </c>
      <c r="H136" s="32">
        <f t="shared" ref="H136:H139" si="71">IF(ISNUMBER(G136), (G136 - $B136) / $B136, "")</f>
        <v>1.1467889908256636E-3</v>
      </c>
      <c r="I136" s="97">
        <f>IF(ISNUMBER(G136), $B145 * H136, "")</f>
        <v>172.01834862384953</v>
      </c>
      <c r="J136" s="15">
        <v>8.76</v>
      </c>
      <c r="K136" s="32">
        <f t="shared" ref="K136:K139" si="72">IF(ISNUMBER(J136), (J136 - $B136) / $B136, "")</f>
        <v>4.5871559633026545E-3</v>
      </c>
      <c r="L136" s="18">
        <f>IF(ISNUMBER(J136), $B145 * K136, "")</f>
        <v>688.07339449539813</v>
      </c>
      <c r="M136" s="31">
        <v>8.66</v>
      </c>
      <c r="N136" s="32">
        <f t="shared" ref="N136:N139" si="73">IF(ISNUMBER(M136), (M136 - $B136) / $B136, "")</f>
        <v>-6.8807339449541852E-3</v>
      </c>
      <c r="O136" s="18">
        <f>IF(ISNUMBER(M136), $B145 * N136, "")</f>
        <v>-1032.1100917431277</v>
      </c>
      <c r="Q136" s="290"/>
      <c r="R136" s="291"/>
      <c r="S136" s="292"/>
    </row>
    <row r="137" spans="1:19" ht="17.25" thickBot="1">
      <c r="A137" s="124" t="s">
        <v>254</v>
      </c>
      <c r="B137" s="125">
        <v>80.3</v>
      </c>
      <c r="C137" s="73">
        <v>-4.51843044E-2</v>
      </c>
      <c r="D137" s="15">
        <v>79.900000000000006</v>
      </c>
      <c r="E137" s="32">
        <f t="shared" si="70"/>
        <v>-4.9813200498130946E-3</v>
      </c>
      <c r="F137" s="18">
        <f>IF(ISNUMBER(D137), $B145 * E137, "")</f>
        <v>-747.19800747196416</v>
      </c>
      <c r="G137" s="31">
        <v>80</v>
      </c>
      <c r="H137" s="32">
        <f t="shared" si="71"/>
        <v>-3.735990037359865E-3</v>
      </c>
      <c r="I137" s="97">
        <f>IF(ISNUMBER(G137), $B145 * H137, "")</f>
        <v>-560.39850560397974</v>
      </c>
      <c r="J137" s="15">
        <v>80.2</v>
      </c>
      <c r="K137" s="32">
        <f t="shared" si="72"/>
        <v>-1.2453300124532294E-3</v>
      </c>
      <c r="L137" s="18">
        <f>IF(ISNUMBER(J137), $B145 * K137, "")</f>
        <v>-186.79950186798442</v>
      </c>
      <c r="M137" s="31">
        <v>79.7</v>
      </c>
      <c r="N137" s="32">
        <f t="shared" si="73"/>
        <v>-7.47198007471973E-3</v>
      </c>
      <c r="O137" s="18">
        <f>IF(ISNUMBER(M137), $B145 * N137, "")</f>
        <v>-1120.7970112079595</v>
      </c>
      <c r="Q137" s="275"/>
      <c r="R137" s="275"/>
      <c r="S137" s="275"/>
    </row>
    <row r="138" spans="1:19" ht="17.25" thickBot="1">
      <c r="A138" s="124" t="s">
        <v>236</v>
      </c>
      <c r="B138" s="125">
        <v>64</v>
      </c>
      <c r="C138" s="73">
        <v>-4.6199701900000001E-2</v>
      </c>
      <c r="D138" s="15">
        <v>63.9</v>
      </c>
      <c r="E138" s="32">
        <f t="shared" si="70"/>
        <v>-1.5625000000000222E-3</v>
      </c>
      <c r="F138" s="18">
        <f>IF(ISNUMBER(D138), $B145 * E138, "")</f>
        <v>-234.37500000000333</v>
      </c>
      <c r="G138" s="31">
        <v>64</v>
      </c>
      <c r="H138" s="32">
        <f t="shared" si="71"/>
        <v>0</v>
      </c>
      <c r="I138" s="97">
        <f>IF(ISNUMBER(G138), $B145 * H138, "")</f>
        <v>0</v>
      </c>
      <c r="J138" s="15">
        <v>64.3</v>
      </c>
      <c r="K138" s="32">
        <f t="shared" si="72"/>
        <v>4.6874999999999556E-3</v>
      </c>
      <c r="L138" s="18">
        <f>IF(ISNUMBER(J138), $B145 * K138, "")</f>
        <v>703.12499999999329</v>
      </c>
      <c r="M138" s="31">
        <v>63.5</v>
      </c>
      <c r="N138" s="32">
        <f t="shared" si="73"/>
        <v>-7.8125E-3</v>
      </c>
      <c r="O138" s="18">
        <f>IF(ISNUMBER(M138), $B145 * N138, "")</f>
        <v>-1171.875</v>
      </c>
      <c r="Q138" s="270"/>
      <c r="R138" s="270"/>
      <c r="S138" s="270"/>
    </row>
    <row r="139" spans="1:19" ht="17.25" thickBot="1">
      <c r="A139" s="126" t="s">
        <v>172</v>
      </c>
      <c r="B139" s="127">
        <v>23.1</v>
      </c>
      <c r="C139" s="74">
        <v>-4.9382716E-2</v>
      </c>
      <c r="D139" s="20">
        <v>23</v>
      </c>
      <c r="E139" s="21">
        <f t="shared" si="70"/>
        <v>-4.3290043290043906E-3</v>
      </c>
      <c r="F139" s="22">
        <f>IF(ISNUMBER(D139), $B145 * E139, "")</f>
        <v>-649.35064935065861</v>
      </c>
      <c r="G139" s="30">
        <v>23.2</v>
      </c>
      <c r="H139" s="21">
        <f t="shared" si="71"/>
        <v>4.3290043290042362E-3</v>
      </c>
      <c r="I139" s="101">
        <f>IF(ISNUMBER(G139), $B145 * H139, "")</f>
        <v>649.35064935063542</v>
      </c>
      <c r="J139" s="20">
        <v>24</v>
      </c>
      <c r="K139" s="21">
        <f t="shared" si="72"/>
        <v>3.8961038961038898E-2</v>
      </c>
      <c r="L139" s="22">
        <f>IF(ISNUMBER(J139), $B145 * K139, "")</f>
        <v>5844.1558441558345</v>
      </c>
      <c r="M139" s="30">
        <v>23.4</v>
      </c>
      <c r="N139" s="21">
        <f t="shared" si="73"/>
        <v>1.2987012987012863E-2</v>
      </c>
      <c r="O139" s="22">
        <f>IF(ISNUMBER(M139), $B145 * N139, "")</f>
        <v>1948.0519480519295</v>
      </c>
      <c r="Q139" s="270"/>
      <c r="R139" s="270"/>
      <c r="S139" s="270"/>
    </row>
    <row r="140" spans="1:19" ht="17.25" thickBot="1">
      <c r="A140" s="124" t="s">
        <v>218</v>
      </c>
      <c r="B140" s="128">
        <v>26.4</v>
      </c>
      <c r="C140" s="76">
        <v>-5.0359712199999997E-2</v>
      </c>
      <c r="D140" s="102">
        <v>26.4</v>
      </c>
      <c r="E140" s="103">
        <f>IF(ISNUMBER(D140), (D140 - $B140) / $B140, "")</f>
        <v>0</v>
      </c>
      <c r="F140" s="104">
        <f>IF(ISNUMBER(D140), $B145 * E140, "")</f>
        <v>0</v>
      </c>
      <c r="G140" s="105">
        <v>26.4</v>
      </c>
      <c r="H140" s="103">
        <f>IF(ISNUMBER(G140), (G140 - $B140) / $B140, "")</f>
        <v>0</v>
      </c>
      <c r="I140" s="106">
        <f>IF(ISNUMBER(G140), $B145 * H140, "")</f>
        <v>0</v>
      </c>
      <c r="J140" s="102">
        <v>26.6</v>
      </c>
      <c r="K140" s="103">
        <f>IF(ISNUMBER(J140), (J140 - $B140) / $B140, "")</f>
        <v>7.5757575757576835E-3</v>
      </c>
      <c r="L140" s="104">
        <f>IF(ISNUMBER(J140), $B145 * K140, "")</f>
        <v>1136.3636363636526</v>
      </c>
      <c r="M140" s="105">
        <v>26.5</v>
      </c>
      <c r="N140" s="103">
        <f>IF(ISNUMBER(M140), (M140 - $B140) / $B140, "")</f>
        <v>3.7878787878788418E-3</v>
      </c>
      <c r="O140" s="104">
        <f>IF(ISNUMBER(M140), $B145 * N140, "")</f>
        <v>568.18181818182632</v>
      </c>
      <c r="Q140" s="275"/>
      <c r="R140" s="275"/>
      <c r="S140" s="275"/>
    </row>
    <row r="141" spans="1:19" ht="17.25" thickBot="1">
      <c r="A141" s="124" t="s">
        <v>198</v>
      </c>
      <c r="B141" s="125">
        <v>26.3</v>
      </c>
      <c r="C141" s="73">
        <v>-5.0541516199999997E-2</v>
      </c>
      <c r="D141" s="15">
        <v>26.6</v>
      </c>
      <c r="E141" s="32">
        <f t="shared" ref="E141:E144" si="74">IF(ISNUMBER(D141), (D141 - $B141) / $B141, "")</f>
        <v>1.1406844106463905E-2</v>
      </c>
      <c r="F141" s="18">
        <f>IF(ISNUMBER(D141), $B145 * E141, "")</f>
        <v>1711.0266159695857</v>
      </c>
      <c r="G141" s="31">
        <v>26.8</v>
      </c>
      <c r="H141" s="32">
        <f t="shared" ref="H141:H144" si="75">IF(ISNUMBER(G141), (G141 - $B141) / $B141, "")</f>
        <v>1.9011406844106463E-2</v>
      </c>
      <c r="I141" s="97">
        <f>IF(ISNUMBER(G141), $B145 * H141, "")</f>
        <v>2851.7110266159693</v>
      </c>
      <c r="J141" s="15">
        <v>26.6</v>
      </c>
      <c r="K141" s="32">
        <f t="shared" ref="K141:K144" si="76">IF(ISNUMBER(J141), (J141 - $B141) / $B141, "")</f>
        <v>1.1406844106463905E-2</v>
      </c>
      <c r="L141" s="18">
        <f>IF(ISNUMBER(J141), $B145 * K141, "")</f>
        <v>1711.0266159695857</v>
      </c>
      <c r="M141" s="31">
        <v>26.3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275"/>
      <c r="R141" s="275"/>
      <c r="S141" s="275"/>
    </row>
    <row r="142" spans="1:19" ht="17.25" thickBot="1">
      <c r="A142" s="124" t="s">
        <v>214</v>
      </c>
      <c r="B142" s="125">
        <v>20.5</v>
      </c>
      <c r="C142" s="73">
        <v>-5.0925925900000002E-2</v>
      </c>
      <c r="D142" s="15">
        <v>20.399999999999999</v>
      </c>
      <c r="E142" s="32">
        <f t="shared" si="74"/>
        <v>-4.8780487804878743E-3</v>
      </c>
      <c r="F142" s="18">
        <f>IF(ISNUMBER(D142), $B145 * E142, "")</f>
        <v>-731.70731707318112</v>
      </c>
      <c r="G142" s="31">
        <v>20.5</v>
      </c>
      <c r="H142" s="32">
        <f t="shared" si="75"/>
        <v>0</v>
      </c>
      <c r="I142" s="97">
        <f>IF(ISNUMBER(G142), $B145 * H142, "")</f>
        <v>0</v>
      </c>
      <c r="J142" s="15">
        <v>20.5</v>
      </c>
      <c r="K142" s="32">
        <f t="shared" si="76"/>
        <v>0</v>
      </c>
      <c r="L142" s="18">
        <f>IF(ISNUMBER(J142), $B145 * K142, "")</f>
        <v>0</v>
      </c>
      <c r="M142" s="31">
        <v>20.3</v>
      </c>
      <c r="N142" s="32">
        <f t="shared" si="77"/>
        <v>-9.7560975609755751E-3</v>
      </c>
      <c r="O142" s="18">
        <f>IF(ISNUMBER(M142), $B145 * N142, "")</f>
        <v>-1463.4146341463363</v>
      </c>
      <c r="Q142" s="275"/>
      <c r="R142" s="275"/>
      <c r="S142" s="275"/>
    </row>
    <row r="143" spans="1:19">
      <c r="A143" s="124" t="s">
        <v>72</v>
      </c>
      <c r="B143" s="125">
        <v>36.6</v>
      </c>
      <c r="C143" s="73">
        <v>-5.18134715E-2</v>
      </c>
      <c r="D143" s="15">
        <v>37.1</v>
      </c>
      <c r="E143" s="32">
        <f t="shared" si="74"/>
        <v>1.3661202185792349E-2</v>
      </c>
      <c r="F143" s="18">
        <f>IF(ISNUMBER(D143), $B145 * E143, "")</f>
        <v>2049.1803278688526</v>
      </c>
      <c r="G143" s="31">
        <v>37.9</v>
      </c>
      <c r="H143" s="32">
        <f t="shared" si="75"/>
        <v>3.5519125683060031E-2</v>
      </c>
      <c r="I143" s="97">
        <f>IF(ISNUMBER(G143), $B145 * H143, "")</f>
        <v>5327.8688524590043</v>
      </c>
      <c r="J143" s="15">
        <v>37.200000000000003</v>
      </c>
      <c r="K143" s="32">
        <f t="shared" si="76"/>
        <v>1.6393442622950859E-2</v>
      </c>
      <c r="L143" s="18">
        <f>IF(ISNUMBER(J143), $B145 * K143, "")</f>
        <v>2459.0163934426287</v>
      </c>
      <c r="M143" s="31">
        <v>36.700000000000003</v>
      </c>
      <c r="N143" s="32">
        <f t="shared" si="77"/>
        <v>2.7322404371585085E-3</v>
      </c>
      <c r="O143" s="18">
        <f>IF(ISNUMBER(M143), $B145 * N143, "")</f>
        <v>409.8360655737763</v>
      </c>
      <c r="Q143" s="297"/>
      <c r="R143" s="298"/>
      <c r="S143" s="299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00"/>
      <c r="R144" s="301"/>
      <c r="S144" s="302"/>
    </row>
    <row r="145" spans="1:19" ht="17.25" thickBot="1">
      <c r="A145" s="131" t="s">
        <v>301</v>
      </c>
      <c r="B145" s="308">
        <f>$B$37</f>
        <v>150000</v>
      </c>
      <c r="C145" s="309"/>
      <c r="D145" s="26" t="s">
        <v>302</v>
      </c>
      <c r="E145" s="27">
        <f>IF(COUNT(E125:E144), SUM(E125:E144) / COUNT(E125:E144), 0)</f>
        <v>5.8473327935194466E-3</v>
      </c>
      <c r="F145" s="28">
        <f>SUM(F125:F144)</f>
        <v>16664.898461530418</v>
      </c>
      <c r="G145" s="26" t="s">
        <v>302</v>
      </c>
      <c r="H145" s="27">
        <f>IF(COUNT(H125:H144), SUM(H125:H144) / COUNT(H125:H144), 0)</f>
        <v>1.1402140249656689E-2</v>
      </c>
      <c r="I145" s="28">
        <f>SUM(I125:I144)</f>
        <v>32496.099711521561</v>
      </c>
      <c r="J145" s="26" t="s">
        <v>302</v>
      </c>
      <c r="K145" s="27">
        <f>IF(COUNT(K125:K144), SUM(K125:K144) / COUNT(K125:K144), 0)</f>
        <v>1.0782522919161781E-2</v>
      </c>
      <c r="L145" s="28">
        <f>SUM(L125:L144)</f>
        <v>30730.19031961108</v>
      </c>
      <c r="M145" s="26" t="s">
        <v>302</v>
      </c>
      <c r="N145" s="27">
        <f>IF(COUNT(N125:N144), SUM(N125:N144) / COUNT(N125:N144), 0)</f>
        <v>-7.0138699891043936E-5</v>
      </c>
      <c r="O145" s="28">
        <f>SUM(O125:O144)</f>
        <v>-199.89529468947774</v>
      </c>
      <c r="Q145" s="303"/>
      <c r="R145" s="304"/>
      <c r="S145" s="305"/>
    </row>
    <row r="147" spans="1:19" ht="17.25" thickBot="1"/>
    <row r="148" spans="1:19" ht="17.25" thickBot="1">
      <c r="A148" s="249" t="s">
        <v>289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1"/>
      <c r="Q148" s="270"/>
      <c r="R148" s="270"/>
      <c r="S148" s="270"/>
    </row>
    <row r="149" spans="1:19" ht="17.25" thickBot="1">
      <c r="A149" s="175" t="s">
        <v>298</v>
      </c>
      <c r="B149" s="249" t="s">
        <v>49</v>
      </c>
      <c r="C149" s="251"/>
      <c r="D149" s="249" t="s">
        <v>58</v>
      </c>
      <c r="E149" s="250"/>
      <c r="F149" s="251"/>
      <c r="G149" s="276">
        <f>_xlfn.IFNA(VLOOKUP(B149, 현재가테이블!$B$2:$D$200, 2, FALSE), "-")</f>
        <v>60874000</v>
      </c>
      <c r="H149" s="277"/>
      <c r="I149" s="278"/>
      <c r="J149" s="249" t="s">
        <v>59</v>
      </c>
      <c r="K149" s="250"/>
      <c r="L149" s="251"/>
      <c r="M149" s="279">
        <f>_xlfn.IFNA(VLOOKUP(B149, 현재가테이블!$B$2:$D$200, 3, FALSE), "-")</f>
        <v>-1.4936000099999999E-2</v>
      </c>
      <c r="N149" s="280"/>
      <c r="O149" s="281"/>
      <c r="Q149" s="270"/>
      <c r="R149" s="270"/>
      <c r="S149" s="270"/>
    </row>
    <row r="150" spans="1:19" ht="17.25" thickBot="1">
      <c r="A150" s="310" t="s">
        <v>55</v>
      </c>
      <c r="B150" s="312" t="str">
        <f>TEXT($G$1, "[$-ko-KR]yyyy-mm-dd(ddd) ") &amp; "오전 00:00"</f>
        <v>2021-05-10(월) 오전 00:00</v>
      </c>
      <c r="C150" s="313"/>
      <c r="D150" s="272" t="str">
        <f>TEXT($G$1, "[$-ko-KR]yyyy-mm-dd(ddd) ") &amp; "오후 14:00"</f>
        <v>2021-05-10(월) 오후 14:00</v>
      </c>
      <c r="E150" s="273"/>
      <c r="F150" s="274"/>
      <c r="G150" s="272" t="str">
        <f>TEXT($G$1, "[$-ko-KR]yyyy-mm-dd(ddd) ") &amp; "오후 19:00"</f>
        <v>2021-05-10(월) 오후 19:00</v>
      </c>
      <c r="H150" s="273"/>
      <c r="I150" s="274"/>
      <c r="J150" s="272" t="str">
        <f>TEXT($G$1, "[$-ko-KR]yyyy-mm-dd(ddd) ") &amp; "오후 21:00"</f>
        <v>2021-05-10(월) 오후 21:00</v>
      </c>
      <c r="K150" s="273"/>
      <c r="L150" s="274"/>
      <c r="M150" s="272" t="str">
        <f>TEXT($G$1+1, "[$-ko-KR]yyyy-mm-dd(ddd) ") &amp; "오전 00:00"</f>
        <v>2021-05-11(화) 오전 00:00</v>
      </c>
      <c r="N150" s="273"/>
      <c r="O150" s="274"/>
      <c r="Q150" s="270"/>
      <c r="R150" s="270"/>
      <c r="S150" s="270"/>
    </row>
    <row r="151" spans="1:19" ht="17.25" thickBot="1">
      <c r="A151" s="311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76" t="s">
        <v>58</v>
      </c>
      <c r="H151" s="177" t="s">
        <v>299</v>
      </c>
      <c r="I151" s="178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75"/>
      <c r="R151" s="275"/>
      <c r="S151" s="275"/>
    </row>
    <row r="152" spans="1:19" ht="17.25" thickBot="1">
      <c r="A152" s="122" t="s">
        <v>216</v>
      </c>
      <c r="B152" s="123">
        <v>488</v>
      </c>
      <c r="C152" s="72">
        <v>-4.3137254899999998E-2</v>
      </c>
      <c r="D152" s="13">
        <v>536</v>
      </c>
      <c r="E152" s="14">
        <f>IF(ISNUMBER(D152), (D152 - $B152) / $B152, "")</f>
        <v>9.8360655737704916E-2</v>
      </c>
      <c r="F152" s="16">
        <f>IF(ISNUMBER(D152), $B172 * E152, "")</f>
        <v>14754.098360655737</v>
      </c>
      <c r="G152" s="29">
        <v>534</v>
      </c>
      <c r="H152" s="14">
        <f>IF(ISNUMBER(G152), (G152 - $B152) / $B152, "")</f>
        <v>9.4262295081967207E-2</v>
      </c>
      <c r="I152" s="96">
        <f>IF(ISNUMBER(G152), $B172 * H152, "")</f>
        <v>14139.344262295081</v>
      </c>
      <c r="J152" s="13">
        <v>532</v>
      </c>
      <c r="K152" s="14">
        <f>IF(ISNUMBER(J152), (J152 - $B152) / $B152, "")</f>
        <v>9.0163934426229511E-2</v>
      </c>
      <c r="L152" s="16">
        <f>IF(ISNUMBER(J152), $B172 * K152, "")</f>
        <v>13524.590163934427</v>
      </c>
      <c r="M152" s="29">
        <v>508</v>
      </c>
      <c r="N152" s="14">
        <f>IF(ISNUMBER(M152), (M152 - $B152) / $B152, "")</f>
        <v>4.0983606557377046E-2</v>
      </c>
      <c r="O152" s="16">
        <f>IF(ISNUMBER(M152), $B172 * N152, "")</f>
        <v>6147.5409836065573</v>
      </c>
      <c r="Q152" s="270"/>
      <c r="R152" s="270"/>
      <c r="S152" s="270"/>
    </row>
    <row r="153" spans="1:19" ht="17.25" thickBot="1">
      <c r="A153" s="124" t="s">
        <v>134</v>
      </c>
      <c r="B153" s="125">
        <v>155</v>
      </c>
      <c r="C153" s="73">
        <v>-4.3209876500000001E-2</v>
      </c>
      <c r="D153" s="15">
        <v>156</v>
      </c>
      <c r="E153" s="32">
        <f t="shared" ref="E153:E156" si="78">IF(ISNUMBER(D153), (D153 - $B153) / $B153, "")</f>
        <v>6.4516129032258064E-3</v>
      </c>
      <c r="F153" s="18">
        <f>IF(ISNUMBER(D153), $B172 * E153, "")</f>
        <v>967.74193548387098</v>
      </c>
      <c r="G153" s="31">
        <v>155</v>
      </c>
      <c r="H153" s="32">
        <f t="shared" ref="H153:H156" si="79">IF(ISNUMBER(G153), (G153 - $B153) / $B153, "")</f>
        <v>0</v>
      </c>
      <c r="I153" s="97">
        <f>IF(ISNUMBER(G153), $B172 * H153, "")</f>
        <v>0</v>
      </c>
      <c r="J153" s="15">
        <v>155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153</v>
      </c>
      <c r="N153" s="32">
        <f t="shared" ref="N153:N156" si="81">IF(ISNUMBER(M153), (M153 - $B153) / $B153, "")</f>
        <v>-1.2903225806451613E-2</v>
      </c>
      <c r="O153" s="18">
        <f>IF(ISNUMBER(M153), $B172 * N153, "")</f>
        <v>-1935.483870967742</v>
      </c>
      <c r="Q153" s="270"/>
      <c r="R153" s="270"/>
      <c r="S153" s="270"/>
    </row>
    <row r="154" spans="1:19" ht="17.25" thickBot="1">
      <c r="A154" s="124" t="s">
        <v>57</v>
      </c>
      <c r="B154" s="125">
        <v>445</v>
      </c>
      <c r="C154" s="73">
        <v>-4.5064377699999998E-2</v>
      </c>
      <c r="D154" s="15">
        <v>460</v>
      </c>
      <c r="E154" s="32">
        <f t="shared" si="78"/>
        <v>3.3707865168539325E-2</v>
      </c>
      <c r="F154" s="18">
        <f>IF(ISNUMBER(D154), $B172 * E154, "")</f>
        <v>5056.1797752808989</v>
      </c>
      <c r="G154" s="31">
        <v>472</v>
      </c>
      <c r="H154" s="32">
        <f t="shared" si="79"/>
        <v>6.0674157303370786E-2</v>
      </c>
      <c r="I154" s="97">
        <f>IF(ISNUMBER(G154), $B172 * H154, "")</f>
        <v>9101.1235955056181</v>
      </c>
      <c r="J154" s="15">
        <v>461</v>
      </c>
      <c r="K154" s="32">
        <f t="shared" si="80"/>
        <v>3.5955056179775284E-2</v>
      </c>
      <c r="L154" s="18">
        <f>IF(ISNUMBER(J154), $B172 * K154, "")</f>
        <v>5393.258426966293</v>
      </c>
      <c r="M154" s="31">
        <v>463</v>
      </c>
      <c r="N154" s="32">
        <f t="shared" si="81"/>
        <v>4.0449438202247189E-2</v>
      </c>
      <c r="O154" s="18">
        <f>IF(ISNUMBER(M154), $B172 * N154, "")</f>
        <v>6067.4157303370785</v>
      </c>
      <c r="Q154" s="275"/>
      <c r="R154" s="275"/>
      <c r="S154" s="275"/>
    </row>
    <row r="155" spans="1:19" ht="17.25" thickBot="1">
      <c r="A155" s="124" t="s">
        <v>174</v>
      </c>
      <c r="B155" s="125">
        <v>262</v>
      </c>
      <c r="C155" s="73">
        <v>-4.7272727299999998E-2</v>
      </c>
      <c r="D155" s="15">
        <v>265</v>
      </c>
      <c r="E155" s="32">
        <f t="shared" si="78"/>
        <v>1.1450381679389313E-2</v>
      </c>
      <c r="F155" s="18">
        <f>IF(ISNUMBER(D155), $B172 * E155, "")</f>
        <v>1717.5572519083969</v>
      </c>
      <c r="G155" s="31">
        <v>264</v>
      </c>
      <c r="H155" s="32">
        <f t="shared" si="79"/>
        <v>7.6335877862595417E-3</v>
      </c>
      <c r="I155" s="97">
        <f>IF(ISNUMBER(G155), $B172 * H155, "")</f>
        <v>1145.0381679389313</v>
      </c>
      <c r="J155" s="15">
        <v>264</v>
      </c>
      <c r="K155" s="32">
        <f t="shared" si="80"/>
        <v>7.6335877862595417E-3</v>
      </c>
      <c r="L155" s="18">
        <f>IF(ISNUMBER(J155), $B172 * K155, "")</f>
        <v>1145.0381679389313</v>
      </c>
      <c r="M155" s="31">
        <v>263</v>
      </c>
      <c r="N155" s="32">
        <f t="shared" si="81"/>
        <v>3.8167938931297708E-3</v>
      </c>
      <c r="O155" s="18">
        <f>IF(ISNUMBER(M155), $B172 * N155, "")</f>
        <v>572.51908396946567</v>
      </c>
      <c r="Q155" s="275"/>
      <c r="R155" s="275"/>
      <c r="S155" s="275"/>
    </row>
    <row r="156" spans="1:19" ht="17.25" thickBot="1">
      <c r="A156" s="126" t="s">
        <v>238</v>
      </c>
      <c r="B156" s="127">
        <v>277</v>
      </c>
      <c r="C156" s="74">
        <v>-4.8109965599999999E-2</v>
      </c>
      <c r="D156" s="20">
        <v>277</v>
      </c>
      <c r="E156" s="21">
        <f t="shared" si="78"/>
        <v>0</v>
      </c>
      <c r="F156" s="22">
        <f>IF(ISNUMBER(D156), $B172 * E156, "")</f>
        <v>0</v>
      </c>
      <c r="G156" s="30">
        <v>278</v>
      </c>
      <c r="H156" s="21">
        <f t="shared" si="79"/>
        <v>3.6101083032490976E-3</v>
      </c>
      <c r="I156" s="101">
        <f>IF(ISNUMBER(G156), $B172 * H156, "")</f>
        <v>541.51624548736459</v>
      </c>
      <c r="J156" s="20">
        <v>277</v>
      </c>
      <c r="K156" s="21">
        <f t="shared" si="80"/>
        <v>0</v>
      </c>
      <c r="L156" s="22">
        <f>IF(ISNUMBER(J156), $B172 * K156, "")</f>
        <v>0</v>
      </c>
      <c r="M156" s="30">
        <v>277</v>
      </c>
      <c r="N156" s="21">
        <f t="shared" si="81"/>
        <v>0</v>
      </c>
      <c r="O156" s="22">
        <f>IF(ISNUMBER(M156), $B172 * N156, "")</f>
        <v>0</v>
      </c>
      <c r="Q156" s="275"/>
      <c r="R156" s="275"/>
      <c r="S156" s="275"/>
    </row>
    <row r="157" spans="1:19" ht="17.25" thickBot="1">
      <c r="A157" s="124" t="s">
        <v>210</v>
      </c>
      <c r="B157" s="128">
        <v>178</v>
      </c>
      <c r="C157" s="76">
        <v>-4.81283422E-2</v>
      </c>
      <c r="D157" s="102">
        <v>175</v>
      </c>
      <c r="E157" s="103">
        <f>IF(ISNUMBER(D157), (D157 - $B157) / $B157, "")</f>
        <v>-1.6853932584269662E-2</v>
      </c>
      <c r="F157" s="104">
        <f>IF(ISNUMBER(D157), $B172 * E157, "")</f>
        <v>-2528.0898876404494</v>
      </c>
      <c r="G157" s="105">
        <v>183</v>
      </c>
      <c r="H157" s="103">
        <f>IF(ISNUMBER(G157), (G157 - $B157) / $B157, "")</f>
        <v>2.8089887640449437E-2</v>
      </c>
      <c r="I157" s="106">
        <f>IF(ISNUMBER(G157), $B172 * H157, "")</f>
        <v>4213.4831460674159</v>
      </c>
      <c r="J157" s="102">
        <v>180</v>
      </c>
      <c r="K157" s="103">
        <f>IF(ISNUMBER(J157), (J157 - $B157) / $B157, "")</f>
        <v>1.1235955056179775E-2</v>
      </c>
      <c r="L157" s="104">
        <f>IF(ISNUMBER(J157), $B172 * K157, "")</f>
        <v>1685.3932584269662</v>
      </c>
      <c r="M157" s="105">
        <v>181</v>
      </c>
      <c r="N157" s="103">
        <f>IF(ISNUMBER(M157), (M157 - $B157) / $B157, "")</f>
        <v>1.6853932584269662E-2</v>
      </c>
      <c r="O157" s="104">
        <f>IF(ISNUMBER(M157), $B172 * N157, "")</f>
        <v>2528.0898876404494</v>
      </c>
      <c r="Q157" s="275"/>
      <c r="R157" s="275"/>
      <c r="S157" s="275"/>
    </row>
    <row r="158" spans="1:19" ht="17.25" thickBot="1">
      <c r="A158" s="124" t="s">
        <v>232</v>
      </c>
      <c r="B158" s="125">
        <v>176</v>
      </c>
      <c r="C158" s="73">
        <v>-4.8648648599999997E-2</v>
      </c>
      <c r="D158" s="15">
        <v>177</v>
      </c>
      <c r="E158" s="32">
        <f t="shared" ref="E158:E161" si="82">IF(ISNUMBER(D158), (D158 - $B158) / $B158, "")</f>
        <v>5.681818181818182E-3</v>
      </c>
      <c r="F158" s="18">
        <f>IF(ISNUMBER(D158), $B172 * E158, "")</f>
        <v>852.27272727272725</v>
      </c>
      <c r="G158" s="31">
        <v>177</v>
      </c>
      <c r="H158" s="32">
        <f t="shared" ref="H158:H161" si="83">IF(ISNUMBER(G158), (G158 - $B158) / $B158, "")</f>
        <v>5.681818181818182E-3</v>
      </c>
      <c r="I158" s="97">
        <f>IF(ISNUMBER(G158), $B172 * H158, "")</f>
        <v>852.27272727272725</v>
      </c>
      <c r="J158" s="15">
        <v>175</v>
      </c>
      <c r="K158" s="32">
        <f t="shared" ref="K158:K161" si="84">IF(ISNUMBER(J158), (J158 - $B158) / $B158, "")</f>
        <v>-5.681818181818182E-3</v>
      </c>
      <c r="L158" s="18">
        <f>IF(ISNUMBER(J158), $B172 * K158, "")</f>
        <v>-852.27272727272725</v>
      </c>
      <c r="M158" s="31">
        <v>173</v>
      </c>
      <c r="N158" s="32">
        <f t="shared" ref="N158:N161" si="85">IF(ISNUMBER(M158), (M158 - $B158) / $B158, "")</f>
        <v>-1.7045454545454544E-2</v>
      </c>
      <c r="O158" s="18">
        <f>IF(ISNUMBER(M158), $B172 * N158, "")</f>
        <v>-2556.8181818181815</v>
      </c>
      <c r="Q158" s="275"/>
      <c r="R158" s="275"/>
      <c r="S158" s="275"/>
    </row>
    <row r="159" spans="1:19" ht="17.25" thickBot="1">
      <c r="A159" s="124" t="s">
        <v>264</v>
      </c>
      <c r="B159" s="125">
        <v>175</v>
      </c>
      <c r="C159" s="73">
        <v>-4.8913043500000003E-2</v>
      </c>
      <c r="D159" s="15">
        <v>175</v>
      </c>
      <c r="E159" s="32">
        <f t="shared" si="82"/>
        <v>0</v>
      </c>
      <c r="F159" s="18">
        <f>IF(ISNUMBER(D159), $B172 * E159, "")</f>
        <v>0</v>
      </c>
      <c r="G159" s="31">
        <v>172</v>
      </c>
      <c r="H159" s="32">
        <f t="shared" si="83"/>
        <v>-1.7142857142857144E-2</v>
      </c>
      <c r="I159" s="97">
        <f>IF(ISNUMBER(G159), $B172 * H159, "")</f>
        <v>-2571.4285714285716</v>
      </c>
      <c r="J159" s="15">
        <v>174</v>
      </c>
      <c r="K159" s="32">
        <f t="shared" si="84"/>
        <v>-5.7142857142857143E-3</v>
      </c>
      <c r="L159" s="18">
        <f>IF(ISNUMBER(J159), $B172 * K159, "")</f>
        <v>-857.14285714285711</v>
      </c>
      <c r="M159" s="31">
        <v>169</v>
      </c>
      <c r="N159" s="32">
        <f t="shared" si="85"/>
        <v>-3.4285714285714287E-2</v>
      </c>
      <c r="O159" s="18">
        <f>IF(ISNUMBER(M159), $B172 * N159, "")</f>
        <v>-5142.8571428571431</v>
      </c>
      <c r="Q159" s="275"/>
      <c r="R159" s="275"/>
      <c r="S159" s="275"/>
    </row>
    <row r="160" spans="1:19" ht="17.25" thickBot="1">
      <c r="A160" s="124" t="s">
        <v>170</v>
      </c>
      <c r="B160" s="125">
        <v>534</v>
      </c>
      <c r="C160" s="73">
        <v>-4.9822064100000001E-2</v>
      </c>
      <c r="D160" s="15">
        <v>585</v>
      </c>
      <c r="E160" s="32">
        <f t="shared" si="82"/>
        <v>9.5505617977528087E-2</v>
      </c>
      <c r="F160" s="18">
        <f>IF(ISNUMBER(D160), $B172 * E160, "")</f>
        <v>14325.842696629214</v>
      </c>
      <c r="G160" s="31">
        <v>563</v>
      </c>
      <c r="H160" s="32">
        <f t="shared" si="83"/>
        <v>5.4307116104868915E-2</v>
      </c>
      <c r="I160" s="97">
        <f>IF(ISNUMBER(G160), $B172 * H160, "")</f>
        <v>8146.0674157303374</v>
      </c>
      <c r="J160" s="15">
        <v>588</v>
      </c>
      <c r="K160" s="32">
        <f t="shared" si="84"/>
        <v>0.10112359550561797</v>
      </c>
      <c r="L160" s="18">
        <f>IF(ISNUMBER(J160), $B172 * K160, "")</f>
        <v>15168.539325842696</v>
      </c>
      <c r="M160" s="31">
        <v>571</v>
      </c>
      <c r="N160" s="32">
        <f t="shared" si="85"/>
        <v>6.9288389513108617E-2</v>
      </c>
      <c r="O160" s="18">
        <f>IF(ISNUMBER(M160), $B172 * N160, "")</f>
        <v>10393.258426966293</v>
      </c>
      <c r="Q160" s="33"/>
      <c r="R160" s="33"/>
    </row>
    <row r="161" spans="1:19" ht="17.25" thickBot="1">
      <c r="A161" s="129" t="s">
        <v>250</v>
      </c>
      <c r="B161" s="130">
        <v>199</v>
      </c>
      <c r="C161" s="75">
        <v>-5.23809524E-2</v>
      </c>
      <c r="D161" s="24">
        <v>200</v>
      </c>
      <c r="E161" s="25">
        <f t="shared" si="82"/>
        <v>5.0251256281407036E-3</v>
      </c>
      <c r="F161" s="100">
        <f>IF(ISNUMBER(D161), $B172 * E161, "")</f>
        <v>753.7688442211055</v>
      </c>
      <c r="G161" s="98">
        <v>200</v>
      </c>
      <c r="H161" s="25">
        <f t="shared" si="83"/>
        <v>5.0251256281407036E-3</v>
      </c>
      <c r="I161" s="99">
        <f>IF(ISNUMBER(G161), $B172 * H161, "")</f>
        <v>753.7688442211055</v>
      </c>
      <c r="J161" s="24">
        <v>201</v>
      </c>
      <c r="K161" s="25">
        <f t="shared" si="84"/>
        <v>1.0050251256281407E-2</v>
      </c>
      <c r="L161" s="100">
        <f>IF(ISNUMBER(J161), $B172 * K161, "")</f>
        <v>1507.537688442211</v>
      </c>
      <c r="M161" s="98">
        <v>199</v>
      </c>
      <c r="N161" s="25">
        <f t="shared" si="85"/>
        <v>0</v>
      </c>
      <c r="O161" s="100">
        <f>IF(ISNUMBER(M161), $B172 * N161, "")</f>
        <v>0</v>
      </c>
      <c r="Q161" s="284"/>
      <c r="R161" s="285"/>
      <c r="S161" s="286"/>
    </row>
    <row r="162" spans="1:19">
      <c r="A162" s="122" t="s">
        <v>230</v>
      </c>
      <c r="B162" s="123">
        <v>160</v>
      </c>
      <c r="C162" s="72">
        <v>-5.32544379E-2</v>
      </c>
      <c r="D162" s="13">
        <v>162</v>
      </c>
      <c r="E162" s="14">
        <f>IF(ISNUMBER(D162), (D162 - $B162) / $B162, "")</f>
        <v>1.2500000000000001E-2</v>
      </c>
      <c r="F162" s="16">
        <f>IF(ISNUMBER(D162), $B172 * E162, "")</f>
        <v>1875</v>
      </c>
      <c r="G162" s="29">
        <v>162</v>
      </c>
      <c r="H162" s="14">
        <f>IF(ISNUMBER(G162), (G162 - $B162) / $B162, "")</f>
        <v>1.2500000000000001E-2</v>
      </c>
      <c r="I162" s="96">
        <f>IF(ISNUMBER(G162), $B172 * H162, "")</f>
        <v>1875</v>
      </c>
      <c r="J162" s="13">
        <v>164</v>
      </c>
      <c r="K162" s="14">
        <f>IF(ISNUMBER(J162), (J162 - $B162) / $B162, "")</f>
        <v>2.5000000000000001E-2</v>
      </c>
      <c r="L162" s="16">
        <f>IF(ISNUMBER(J162), $B172 * K162, "")</f>
        <v>3750</v>
      </c>
      <c r="M162" s="29">
        <v>160</v>
      </c>
      <c r="N162" s="14">
        <f>IF(ISNUMBER(M162), (M162 - $B162) / $B162, "")</f>
        <v>0</v>
      </c>
      <c r="O162" s="16">
        <f>IF(ISNUMBER(M162), $B172 * N162, "")</f>
        <v>0</v>
      </c>
      <c r="Q162" s="287"/>
      <c r="R162" s="288"/>
      <c r="S162" s="289"/>
    </row>
    <row r="163" spans="1:19" ht="17.25" thickBot="1">
      <c r="A163" s="124" t="s">
        <v>168</v>
      </c>
      <c r="B163" s="125">
        <v>231</v>
      </c>
      <c r="C163" s="73">
        <v>-5.3278688499999997E-2</v>
      </c>
      <c r="D163" s="15">
        <v>248</v>
      </c>
      <c r="E163" s="32">
        <f t="shared" ref="E163:E166" si="86">IF(ISNUMBER(D163), (D163 - $B163) / $B163, "")</f>
        <v>7.3593073593073599E-2</v>
      </c>
      <c r="F163" s="18">
        <f>IF(ISNUMBER(D163), $B172 * E163, "")</f>
        <v>11038.961038961041</v>
      </c>
      <c r="G163" s="31">
        <v>272</v>
      </c>
      <c r="H163" s="32">
        <f t="shared" ref="H163:H166" si="87">IF(ISNUMBER(G163), (G163 - $B163) / $B163, "")</f>
        <v>0.1774891774891775</v>
      </c>
      <c r="I163" s="97">
        <f>IF(ISNUMBER(G163), $B172 * H163, "")</f>
        <v>26623.376623376626</v>
      </c>
      <c r="J163" s="15">
        <v>261</v>
      </c>
      <c r="K163" s="32">
        <f t="shared" ref="K163:K166" si="88">IF(ISNUMBER(J163), (J163 - $B163) / $B163, "")</f>
        <v>0.12987012987012986</v>
      </c>
      <c r="L163" s="18">
        <f>IF(ISNUMBER(J163), $B172 * K163, "")</f>
        <v>19480.519480519477</v>
      </c>
      <c r="M163" s="31">
        <v>255</v>
      </c>
      <c r="N163" s="32">
        <f t="shared" ref="N163:N166" si="89">IF(ISNUMBER(M163), (M163 - $B163) / $B163, "")</f>
        <v>0.1038961038961039</v>
      </c>
      <c r="O163" s="18">
        <f>IF(ISNUMBER(M163), $B172 * N163, "")</f>
        <v>15584.415584415585</v>
      </c>
      <c r="Q163" s="290"/>
      <c r="R163" s="291"/>
      <c r="S163" s="292"/>
    </row>
    <row r="164" spans="1:19" ht="17.25" thickBot="1">
      <c r="A164" s="124" t="s">
        <v>252</v>
      </c>
      <c r="B164" s="125">
        <v>548</v>
      </c>
      <c r="C164" s="73">
        <v>-5.3540587200000003E-2</v>
      </c>
      <c r="D164" s="15">
        <v>540</v>
      </c>
      <c r="E164" s="32">
        <f t="shared" si="86"/>
        <v>-1.4598540145985401E-2</v>
      </c>
      <c r="F164" s="18">
        <f>IF(ISNUMBER(D164), $B172 * E164, "")</f>
        <v>-2189.7810218978102</v>
      </c>
      <c r="G164" s="31">
        <v>541</v>
      </c>
      <c r="H164" s="32">
        <f t="shared" si="87"/>
        <v>-1.2773722627737226E-2</v>
      </c>
      <c r="I164" s="97">
        <f>IF(ISNUMBER(G164), $B172 * H164, "")</f>
        <v>-1916.0583941605839</v>
      </c>
      <c r="J164" s="15">
        <v>541</v>
      </c>
      <c r="K164" s="32">
        <f t="shared" si="88"/>
        <v>-1.2773722627737226E-2</v>
      </c>
      <c r="L164" s="18">
        <f>IF(ISNUMBER(J164), $B172 * K164, "")</f>
        <v>-1916.0583941605839</v>
      </c>
      <c r="M164" s="31">
        <v>537</v>
      </c>
      <c r="N164" s="32">
        <f t="shared" si="89"/>
        <v>-2.0072992700729927E-2</v>
      </c>
      <c r="O164" s="18">
        <f>IF(ISNUMBER(M164), $B172 * N164, "")</f>
        <v>-3010.9489051094888</v>
      </c>
      <c r="Q164" s="275"/>
      <c r="R164" s="275"/>
      <c r="S164" s="275"/>
    </row>
    <row r="165" spans="1:19" ht="17.25" thickBot="1">
      <c r="A165" s="124" t="s">
        <v>212</v>
      </c>
      <c r="B165" s="125">
        <v>141</v>
      </c>
      <c r="C165" s="73">
        <v>-5.3691275199999999E-2</v>
      </c>
      <c r="D165" s="15">
        <v>142</v>
      </c>
      <c r="E165" s="32">
        <f t="shared" si="86"/>
        <v>7.0921985815602835E-3</v>
      </c>
      <c r="F165" s="18">
        <f>IF(ISNUMBER(D165), $B172 * E165, "")</f>
        <v>1063.8297872340424</v>
      </c>
      <c r="G165" s="31">
        <v>144</v>
      </c>
      <c r="H165" s="32">
        <f t="shared" si="87"/>
        <v>2.1276595744680851E-2</v>
      </c>
      <c r="I165" s="97">
        <f>IF(ISNUMBER(G165), $B172 * H165, "")</f>
        <v>3191.4893617021276</v>
      </c>
      <c r="J165" s="15">
        <v>144</v>
      </c>
      <c r="K165" s="32">
        <f t="shared" si="88"/>
        <v>2.1276595744680851E-2</v>
      </c>
      <c r="L165" s="18">
        <f>IF(ISNUMBER(J165), $B172 * K165, "")</f>
        <v>3191.4893617021276</v>
      </c>
      <c r="M165" s="31">
        <v>142</v>
      </c>
      <c r="N165" s="32">
        <f t="shared" si="89"/>
        <v>7.0921985815602835E-3</v>
      </c>
      <c r="O165" s="18">
        <f>IF(ISNUMBER(M165), $B172 * N165, "")</f>
        <v>1063.8297872340424</v>
      </c>
      <c r="Q165" s="270"/>
      <c r="R165" s="270"/>
      <c r="S165" s="270"/>
    </row>
    <row r="166" spans="1:19" ht="17.25" thickBot="1">
      <c r="A166" s="126" t="s">
        <v>270</v>
      </c>
      <c r="B166" s="127">
        <v>593</v>
      </c>
      <c r="C166" s="74">
        <v>-5.87301587E-2</v>
      </c>
      <c r="D166" s="20">
        <v>603</v>
      </c>
      <c r="E166" s="21">
        <f t="shared" si="86"/>
        <v>1.6863406408094434E-2</v>
      </c>
      <c r="F166" s="22">
        <f>IF(ISNUMBER(D166), $B172 * E166, "")</f>
        <v>2529.510961214165</v>
      </c>
      <c r="G166" s="30">
        <v>612</v>
      </c>
      <c r="H166" s="21">
        <f t="shared" si="87"/>
        <v>3.2040472175379427E-2</v>
      </c>
      <c r="I166" s="101">
        <f>IF(ISNUMBER(G166), $B172 * H166, "")</f>
        <v>4806.0708263069137</v>
      </c>
      <c r="J166" s="20">
        <v>608</v>
      </c>
      <c r="K166" s="21">
        <f t="shared" si="88"/>
        <v>2.5295109612141653E-2</v>
      </c>
      <c r="L166" s="22">
        <f>IF(ISNUMBER(J166), $B172 * K166, "")</f>
        <v>3794.266441821248</v>
      </c>
      <c r="M166" s="30">
        <v>598</v>
      </c>
      <c r="N166" s="21">
        <f t="shared" si="89"/>
        <v>8.4317032040472171E-3</v>
      </c>
      <c r="O166" s="22">
        <f>IF(ISNUMBER(M166), $B172 * N166, "")</f>
        <v>1264.7554806070825</v>
      </c>
      <c r="Q166" s="270"/>
      <c r="R166" s="270"/>
      <c r="S166" s="270"/>
    </row>
    <row r="167" spans="1:19" ht="17.25" thickBot="1">
      <c r="A167" s="124" t="s">
        <v>246</v>
      </c>
      <c r="B167" s="128">
        <v>368</v>
      </c>
      <c r="C167" s="76">
        <v>-5.8823529399999998E-2</v>
      </c>
      <c r="D167" s="102">
        <v>367</v>
      </c>
      <c r="E167" s="103">
        <f>IF(ISNUMBER(D167), (D167 - $B167) / $B167, "")</f>
        <v>-2.717391304347826E-3</v>
      </c>
      <c r="F167" s="104">
        <f>IF(ISNUMBER(D167), $B172 * E167, "")</f>
        <v>-407.60869565217388</v>
      </c>
      <c r="G167" s="105">
        <v>369</v>
      </c>
      <c r="H167" s="103">
        <f>IF(ISNUMBER(G167), (G167 - $B167) / $B167, "")</f>
        <v>2.717391304347826E-3</v>
      </c>
      <c r="I167" s="106">
        <f>IF(ISNUMBER(G167), $B172 * H167, "")</f>
        <v>407.60869565217388</v>
      </c>
      <c r="J167" s="102">
        <v>368</v>
      </c>
      <c r="K167" s="103">
        <f>IF(ISNUMBER(J167), (J167 - $B167) / $B167, "")</f>
        <v>0</v>
      </c>
      <c r="L167" s="104">
        <f>IF(ISNUMBER(J167), $B172 * K167, "")</f>
        <v>0</v>
      </c>
      <c r="M167" s="105">
        <v>364</v>
      </c>
      <c r="N167" s="103">
        <f>IF(ISNUMBER(M167), (M167 - $B167) / $B167, "")</f>
        <v>-1.0869565217391304E-2</v>
      </c>
      <c r="O167" s="104">
        <f>IF(ISNUMBER(M167), $B172 * N167, "")</f>
        <v>-1630.4347826086955</v>
      </c>
      <c r="Q167" s="275"/>
      <c r="R167" s="275"/>
      <c r="S167" s="275"/>
    </row>
    <row r="168" spans="1:19" ht="17.25" thickBot="1">
      <c r="A168" s="124" t="s">
        <v>282</v>
      </c>
      <c r="B168" s="125">
        <v>172</v>
      </c>
      <c r="C168" s="73">
        <v>-6.5217391299999997E-2</v>
      </c>
      <c r="D168" s="15">
        <v>171</v>
      </c>
      <c r="E168" s="32">
        <f t="shared" ref="E168:E171" si="90">IF(ISNUMBER(D168), (D168 - $B168) / $B168, "")</f>
        <v>-5.8139534883720929E-3</v>
      </c>
      <c r="F168" s="18">
        <f>IF(ISNUMBER(D168), $B172 * E168, "")</f>
        <v>-872.09302325581393</v>
      </c>
      <c r="G168" s="31">
        <v>171</v>
      </c>
      <c r="H168" s="32">
        <f t="shared" ref="H168:H171" si="91">IF(ISNUMBER(G168), (G168 - $B168) / $B168, "")</f>
        <v>-5.8139534883720929E-3</v>
      </c>
      <c r="I168" s="97">
        <f>IF(ISNUMBER(G168), $B172 * H168, "")</f>
        <v>-872.09302325581393</v>
      </c>
      <c r="J168" s="15">
        <v>171</v>
      </c>
      <c r="K168" s="32">
        <f t="shared" ref="K168:K171" si="92">IF(ISNUMBER(J168), (J168 - $B168) / $B168, "")</f>
        <v>-5.8139534883720929E-3</v>
      </c>
      <c r="L168" s="18">
        <f>IF(ISNUMBER(J168), $B172 * K168, "")</f>
        <v>-872.09302325581393</v>
      </c>
      <c r="M168" s="31">
        <v>171</v>
      </c>
      <c r="N168" s="32">
        <f t="shared" ref="N168:N171" si="93">IF(ISNUMBER(M168), (M168 - $B168) / $B168, "")</f>
        <v>-5.8139534883720929E-3</v>
      </c>
      <c r="O168" s="18">
        <f>IF(ISNUMBER(M168), $B172 * N168, "")</f>
        <v>-872.09302325581393</v>
      </c>
      <c r="Q168" s="275"/>
      <c r="R168" s="275"/>
      <c r="S168" s="275"/>
    </row>
    <row r="169" spans="1:19" ht="17.25" thickBot="1">
      <c r="A169" s="124" t="s">
        <v>258</v>
      </c>
      <c r="B169" s="125">
        <v>671</v>
      </c>
      <c r="C169" s="73">
        <v>-6.8055555599999998E-2</v>
      </c>
      <c r="D169" s="15">
        <v>678</v>
      </c>
      <c r="E169" s="32">
        <f t="shared" si="90"/>
        <v>1.0432190760059613E-2</v>
      </c>
      <c r="F169" s="18">
        <f>IF(ISNUMBER(D169), $B172 * E169, "")</f>
        <v>1564.8286140089419</v>
      </c>
      <c r="G169" s="31">
        <v>671</v>
      </c>
      <c r="H169" s="32">
        <f t="shared" si="91"/>
        <v>0</v>
      </c>
      <c r="I169" s="97">
        <f>IF(ISNUMBER(G169), $B172 * H169, "")</f>
        <v>0</v>
      </c>
      <c r="J169" s="15">
        <v>676</v>
      </c>
      <c r="K169" s="32">
        <f t="shared" si="92"/>
        <v>7.4515648286140089E-3</v>
      </c>
      <c r="L169" s="18">
        <f>IF(ISNUMBER(J169), $B172 * K169, "")</f>
        <v>1117.7347242921014</v>
      </c>
      <c r="M169" s="31">
        <v>663</v>
      </c>
      <c r="N169" s="32">
        <f t="shared" si="93"/>
        <v>-1.1922503725782414E-2</v>
      </c>
      <c r="O169" s="18">
        <f>IF(ISNUMBER(M169), $B172 * N169, "")</f>
        <v>-1788.3755588673621</v>
      </c>
      <c r="Q169" s="275"/>
      <c r="R169" s="275"/>
      <c r="S169" s="275"/>
    </row>
    <row r="170" spans="1:19">
      <c r="A170" s="124" t="s">
        <v>182</v>
      </c>
      <c r="B170" s="125">
        <v>553</v>
      </c>
      <c r="C170" s="73">
        <v>-9.4926350199999995E-2</v>
      </c>
      <c r="D170" s="15">
        <v>550</v>
      </c>
      <c r="E170" s="32">
        <f t="shared" si="90"/>
        <v>-5.4249547920433997E-3</v>
      </c>
      <c r="F170" s="18">
        <f>IF(ISNUMBER(D170), $B172 * E170, "")</f>
        <v>-813.74321880650996</v>
      </c>
      <c r="G170" s="31">
        <v>546</v>
      </c>
      <c r="H170" s="32">
        <f t="shared" si="91"/>
        <v>-1.2658227848101266E-2</v>
      </c>
      <c r="I170" s="97">
        <f>IF(ISNUMBER(G170), $B172 * H170, "")</f>
        <v>-1898.7341772151899</v>
      </c>
      <c r="J170" s="15">
        <v>544</v>
      </c>
      <c r="K170" s="32">
        <f t="shared" si="92"/>
        <v>-1.62748643761302E-2</v>
      </c>
      <c r="L170" s="18">
        <f>IF(ISNUMBER(J170), $B172 * K170, "")</f>
        <v>-2441.2296564195299</v>
      </c>
      <c r="M170" s="31">
        <v>533</v>
      </c>
      <c r="N170" s="32">
        <f t="shared" si="93"/>
        <v>-3.6166365280289332E-2</v>
      </c>
      <c r="O170" s="18">
        <f>IF(ISNUMBER(M170), $B172 * N170, "")</f>
        <v>-5424.9547920433997</v>
      </c>
      <c r="Q170" s="297"/>
      <c r="R170" s="298"/>
      <c r="S170" s="299"/>
    </row>
    <row r="171" spans="1:19" ht="17.25" thickBot="1">
      <c r="A171" s="129" t="s">
        <v>296</v>
      </c>
      <c r="B171" s="130">
        <v>594</v>
      </c>
      <c r="C171" s="75">
        <v>-0.23255813950000001</v>
      </c>
      <c r="D171" s="24">
        <v>640</v>
      </c>
      <c r="E171" s="25">
        <f t="shared" si="90"/>
        <v>7.7441077441077436E-2</v>
      </c>
      <c r="F171" s="100">
        <f>IF(ISNUMBER(D171), $B172 * E171, "")</f>
        <v>11616.161616161615</v>
      </c>
      <c r="G171" s="98">
        <v>637</v>
      </c>
      <c r="H171" s="25">
        <f t="shared" si="91"/>
        <v>7.2390572390572394E-2</v>
      </c>
      <c r="I171" s="99">
        <f>IF(ISNUMBER(G171), $B172 * H171, "")</f>
        <v>10858.585858585859</v>
      </c>
      <c r="J171" s="24">
        <v>636</v>
      </c>
      <c r="K171" s="25">
        <f t="shared" si="92"/>
        <v>7.0707070707070704E-2</v>
      </c>
      <c r="L171" s="100">
        <f>IF(ISNUMBER(J171), $B172 * K171, "")</f>
        <v>10606.060606060606</v>
      </c>
      <c r="M171" s="98">
        <v>632</v>
      </c>
      <c r="N171" s="25">
        <f t="shared" si="93"/>
        <v>6.3973063973063973E-2</v>
      </c>
      <c r="O171" s="100">
        <f>IF(ISNUMBER(M171), $B172 * N171, "")</f>
        <v>9595.9595959595954</v>
      </c>
      <c r="Q171" s="300"/>
      <c r="R171" s="301"/>
      <c r="S171" s="302"/>
    </row>
    <row r="172" spans="1:19" ht="17.25" thickBot="1">
      <c r="A172" s="131" t="s">
        <v>301</v>
      </c>
      <c r="B172" s="308">
        <f>$B$37</f>
        <v>150000</v>
      </c>
      <c r="C172" s="309"/>
      <c r="D172" s="26" t="s">
        <v>302</v>
      </c>
      <c r="E172" s="27">
        <f>IF(COUNT(E152:E171), SUM(E152:E171) / COUNT(E152:E171), 0)</f>
        <v>2.0434812587259661E-2</v>
      </c>
      <c r="F172" s="28">
        <f>SUM(F152:F171)</f>
        <v>61304.437761778987</v>
      </c>
      <c r="G172" s="26" t="s">
        <v>302</v>
      </c>
      <c r="H172" s="27">
        <f>IF(COUNT(H152:H171), SUM(H152:H171) / COUNT(H152:H171), 0)</f>
        <v>2.6465477201360704E-2</v>
      </c>
      <c r="I172" s="28">
        <f>SUM(I152:I171)</f>
        <v>79396.431604082114</v>
      </c>
      <c r="J172" s="26" t="s">
        <v>302</v>
      </c>
      <c r="K172" s="27">
        <f>IF(COUNT(K152:K171), SUM(K152:K171) / COUNT(K152:K171), 0)</f>
        <v>2.4475210329231858E-2</v>
      </c>
      <c r="L172" s="28">
        <f>SUM(L152:L171)</f>
        <v>73425.630987695564</v>
      </c>
      <c r="M172" s="26" t="s">
        <v>302</v>
      </c>
      <c r="N172" s="27">
        <f>IF(COUNT(N152:N171), SUM(N152:N171) / COUNT(N152:N171), 0)</f>
        <v>1.0285272767736109E-2</v>
      </c>
      <c r="O172" s="28">
        <f>SUM(O152:O171)</f>
        <v>30855.818303208325</v>
      </c>
      <c r="Q172" s="303"/>
      <c r="R172" s="304"/>
      <c r="S172" s="305"/>
    </row>
    <row r="174" spans="1:19" ht="17.25" thickBot="1"/>
    <row r="175" spans="1:19" ht="17.25" thickBot="1">
      <c r="A175" s="249" t="s">
        <v>285</v>
      </c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50"/>
      <c r="M175" s="250"/>
      <c r="N175" s="250"/>
      <c r="O175" s="251"/>
      <c r="Q175" s="270"/>
      <c r="R175" s="270"/>
      <c r="S175" s="270"/>
    </row>
    <row r="176" spans="1:19" ht="17.25" thickBot="1">
      <c r="A176" s="175" t="s">
        <v>298</v>
      </c>
      <c r="B176" s="249" t="s">
        <v>49</v>
      </c>
      <c r="C176" s="251"/>
      <c r="D176" s="249" t="s">
        <v>58</v>
      </c>
      <c r="E176" s="250"/>
      <c r="F176" s="251"/>
      <c r="G176" s="276">
        <f>_xlfn.IFNA(VLOOKUP(B176, 현재가테이블!$B$2:$D$200, 2, FALSE), "-")</f>
        <v>60874000</v>
      </c>
      <c r="H176" s="277"/>
      <c r="I176" s="278"/>
      <c r="J176" s="249" t="s">
        <v>59</v>
      </c>
      <c r="K176" s="250"/>
      <c r="L176" s="251"/>
      <c r="M176" s="279">
        <f>_xlfn.IFNA(VLOOKUP(B176, 현재가테이블!$B$2:$D$200, 3, FALSE), "-")</f>
        <v>-1.4936000099999999E-2</v>
      </c>
      <c r="N176" s="280"/>
      <c r="O176" s="281"/>
      <c r="Q176" s="270"/>
      <c r="R176" s="270"/>
      <c r="S176" s="270"/>
    </row>
    <row r="177" spans="1:19" ht="17.25" thickBot="1">
      <c r="A177" s="310" t="s">
        <v>55</v>
      </c>
      <c r="B177" s="312" t="str">
        <f>TEXT($G$1, "[$-ko-KR]yyyy-mm-dd(ddd) ") &amp; "오전 00:00"</f>
        <v>2021-05-10(월) 오전 00:00</v>
      </c>
      <c r="C177" s="313"/>
      <c r="D177" s="272" t="str">
        <f>TEXT($G$1, "[$-ko-KR]yyyy-mm-dd(ddd) ") &amp; "오후 14:00"</f>
        <v>2021-05-10(월) 오후 14:00</v>
      </c>
      <c r="E177" s="273"/>
      <c r="F177" s="274"/>
      <c r="G177" s="272" t="str">
        <f>TEXT($G$1, "[$-ko-KR]yyyy-mm-dd(ddd) ") &amp; "오후 19:00"</f>
        <v>2021-05-10(월) 오후 19:00</v>
      </c>
      <c r="H177" s="273"/>
      <c r="I177" s="274"/>
      <c r="J177" s="272" t="str">
        <f>TEXT($G$1, "[$-ko-KR]yyyy-mm-dd(ddd) ") &amp; "오후 21:00"</f>
        <v>2021-05-10(월) 오후 21:00</v>
      </c>
      <c r="K177" s="273"/>
      <c r="L177" s="274"/>
      <c r="M177" s="272" t="str">
        <f>TEXT($G$1+1, "[$-ko-KR]yyyy-mm-dd(ddd) ") &amp; "오전 00:00"</f>
        <v>2021-05-11(화) 오전 00:00</v>
      </c>
      <c r="N177" s="273"/>
      <c r="O177" s="274"/>
      <c r="Q177" s="270"/>
      <c r="R177" s="270"/>
      <c r="S177" s="270"/>
    </row>
    <row r="178" spans="1:19" ht="17.25" thickBot="1">
      <c r="A178" s="311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76" t="s">
        <v>58</v>
      </c>
      <c r="H178" s="177" t="s">
        <v>299</v>
      </c>
      <c r="I178" s="178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75"/>
      <c r="R178" s="275"/>
      <c r="S178" s="275"/>
    </row>
    <row r="179" spans="1:19" ht="17.25" thickBot="1">
      <c r="A179" s="122" t="s">
        <v>212</v>
      </c>
      <c r="B179" s="123">
        <v>141</v>
      </c>
      <c r="C179" s="72">
        <v>-5.3691275199999999E-2</v>
      </c>
      <c r="D179" s="13">
        <v>142</v>
      </c>
      <c r="E179" s="14">
        <f>IF(ISNUMBER(D179), (D179 - $B179) / $B179, "")</f>
        <v>7.0921985815602835E-3</v>
      </c>
      <c r="F179" s="16">
        <f>IF(ISNUMBER(D179), $B199 * E179, "")</f>
        <v>1063.8297872340424</v>
      </c>
      <c r="G179" s="29">
        <v>144</v>
      </c>
      <c r="H179" s="14">
        <f>IF(ISNUMBER(G179), (G179 - $B179) / $B179, "")</f>
        <v>2.1276595744680851E-2</v>
      </c>
      <c r="I179" s="96">
        <f>IF(ISNUMBER(G179), $B199 * H179, "")</f>
        <v>3191.4893617021276</v>
      </c>
      <c r="J179" s="13">
        <v>144</v>
      </c>
      <c r="K179" s="14">
        <f>IF(ISNUMBER(J179), (J179 - $B179) / $B179, "")</f>
        <v>2.1276595744680851E-2</v>
      </c>
      <c r="L179" s="16">
        <f>IF(ISNUMBER(J179), $B199 * K179, "")</f>
        <v>3191.4893617021276</v>
      </c>
      <c r="M179" s="29">
        <v>142</v>
      </c>
      <c r="N179" s="14">
        <f>IF(ISNUMBER(M179), (M179 - $B179) / $B179, "")</f>
        <v>7.0921985815602835E-3</v>
      </c>
      <c r="O179" s="16">
        <f>IF(ISNUMBER(M179), $B199 * N179, "")</f>
        <v>1063.8297872340424</v>
      </c>
      <c r="Q179" s="270"/>
      <c r="R179" s="270"/>
      <c r="S179" s="270"/>
    </row>
    <row r="180" spans="1:19" ht="17.25" thickBot="1">
      <c r="A180" s="124" t="s">
        <v>234</v>
      </c>
      <c r="B180" s="125">
        <v>1325</v>
      </c>
      <c r="C180" s="73">
        <v>-5.69395018E-2</v>
      </c>
      <c r="D180" s="15">
        <v>1335</v>
      </c>
      <c r="E180" s="32">
        <f t="shared" ref="E180:E183" si="94">IF(ISNUMBER(D180), (D180 - $B180) / $B180, "")</f>
        <v>7.5471698113207548E-3</v>
      </c>
      <c r="F180" s="18">
        <f>IF(ISNUMBER(D180), $B199 * E180, "")</f>
        <v>1132.0754716981132</v>
      </c>
      <c r="G180" s="31">
        <v>1325</v>
      </c>
      <c r="H180" s="32">
        <f t="shared" ref="H180:H183" si="95">IF(ISNUMBER(G180), (G180 - $B180) / $B180, "")</f>
        <v>0</v>
      </c>
      <c r="I180" s="97">
        <f>IF(ISNUMBER(G180), $B199 * H180, "")</f>
        <v>0</v>
      </c>
      <c r="J180" s="15">
        <v>1320</v>
      </c>
      <c r="K180" s="32">
        <f t="shared" ref="K180:K183" si="96">IF(ISNUMBER(J180), (J180 - $B180) / $B180, "")</f>
        <v>-3.7735849056603774E-3</v>
      </c>
      <c r="L180" s="18">
        <f>IF(ISNUMBER(J180), $B199 * K180, "")</f>
        <v>-566.03773584905662</v>
      </c>
      <c r="M180" s="31">
        <v>1295</v>
      </c>
      <c r="N180" s="32">
        <f t="shared" ref="N180:N183" si="97">IF(ISNUMBER(M180), (M180 - $B180) / $B180, "")</f>
        <v>-2.2641509433962263E-2</v>
      </c>
      <c r="O180" s="18">
        <f>IF(ISNUMBER(M180), $B199 * N180, "")</f>
        <v>-3396.2264150943392</v>
      </c>
      <c r="Q180" s="270"/>
      <c r="R180" s="270"/>
      <c r="S180" s="270"/>
    </row>
    <row r="181" spans="1:19" ht="17.25" thickBot="1">
      <c r="A181" s="124" t="s">
        <v>180</v>
      </c>
      <c r="B181" s="125">
        <v>4785</v>
      </c>
      <c r="C181" s="73">
        <v>-5.71428571E-2</v>
      </c>
      <c r="D181" s="15">
        <v>5075</v>
      </c>
      <c r="E181" s="32">
        <f t="shared" si="94"/>
        <v>6.0606060606060608E-2</v>
      </c>
      <c r="F181" s="18">
        <f>IF(ISNUMBER(D181), $B199 * E181, "")</f>
        <v>9090.9090909090919</v>
      </c>
      <c r="G181" s="31">
        <v>5110</v>
      </c>
      <c r="H181" s="32">
        <f t="shared" si="95"/>
        <v>6.7920585161964475E-2</v>
      </c>
      <c r="I181" s="97">
        <f>IF(ISNUMBER(G181), $B199 * H181, "")</f>
        <v>10188.08777429467</v>
      </c>
      <c r="J181" s="15">
        <v>5055</v>
      </c>
      <c r="K181" s="32">
        <f t="shared" si="96"/>
        <v>5.6426332288401257E-2</v>
      </c>
      <c r="L181" s="18">
        <f>IF(ISNUMBER(J181), $B199 * K181, "")</f>
        <v>8463.9498432601886</v>
      </c>
      <c r="M181" s="31">
        <v>5000</v>
      </c>
      <c r="N181" s="32">
        <f t="shared" si="97"/>
        <v>4.4932079414838039E-2</v>
      </c>
      <c r="O181" s="18">
        <f>IF(ISNUMBER(M181), $B199 * N181, "")</f>
        <v>6739.8119122257058</v>
      </c>
      <c r="Q181" s="275"/>
      <c r="R181" s="275"/>
      <c r="S181" s="275"/>
    </row>
    <row r="182" spans="1:19" ht="17.25" thickBot="1">
      <c r="A182" s="124" t="s">
        <v>194</v>
      </c>
      <c r="B182" s="125">
        <v>13560</v>
      </c>
      <c r="C182" s="73">
        <v>-5.7678943699999999E-2</v>
      </c>
      <c r="D182" s="15">
        <v>13330</v>
      </c>
      <c r="E182" s="32">
        <f t="shared" si="94"/>
        <v>-1.696165191740413E-2</v>
      </c>
      <c r="F182" s="18">
        <f>IF(ISNUMBER(D182), $B199 * E182, "")</f>
        <v>-2544.2477876106195</v>
      </c>
      <c r="G182" s="31">
        <v>13330</v>
      </c>
      <c r="H182" s="32">
        <f t="shared" si="95"/>
        <v>-1.696165191740413E-2</v>
      </c>
      <c r="I182" s="97">
        <f>IF(ISNUMBER(G182), $B199 * H182, "")</f>
        <v>-2544.2477876106195</v>
      </c>
      <c r="J182" s="15">
        <v>13320</v>
      </c>
      <c r="K182" s="32">
        <f t="shared" si="96"/>
        <v>-1.7699115044247787E-2</v>
      </c>
      <c r="L182" s="18">
        <f>IF(ISNUMBER(J182), $B199 * K182, "")</f>
        <v>-2654.8672566371679</v>
      </c>
      <c r="M182" s="31">
        <v>13220</v>
      </c>
      <c r="N182" s="32">
        <f t="shared" si="97"/>
        <v>-2.5073746312684365E-2</v>
      </c>
      <c r="O182" s="18">
        <f>IF(ISNUMBER(M182), $B199 * N182, "")</f>
        <v>-3761.0619469026547</v>
      </c>
      <c r="Q182" s="275"/>
      <c r="R182" s="275"/>
      <c r="S182" s="275"/>
    </row>
    <row r="183" spans="1:19" ht="17.25" thickBot="1">
      <c r="A183" s="126" t="s">
        <v>270</v>
      </c>
      <c r="B183" s="127">
        <v>593</v>
      </c>
      <c r="C183" s="74">
        <v>-5.87301587E-2</v>
      </c>
      <c r="D183" s="20">
        <v>603</v>
      </c>
      <c r="E183" s="21">
        <f t="shared" si="94"/>
        <v>1.6863406408094434E-2</v>
      </c>
      <c r="F183" s="22">
        <f>IF(ISNUMBER(D183), $B199 * E183, "")</f>
        <v>2529.510961214165</v>
      </c>
      <c r="G183" s="30">
        <v>612</v>
      </c>
      <c r="H183" s="21">
        <f t="shared" si="95"/>
        <v>3.2040472175379427E-2</v>
      </c>
      <c r="I183" s="101">
        <f>IF(ISNUMBER(G183), $B199 * H183, "")</f>
        <v>4806.0708263069137</v>
      </c>
      <c r="J183" s="20">
        <v>608</v>
      </c>
      <c r="K183" s="21">
        <f t="shared" si="96"/>
        <v>2.5295109612141653E-2</v>
      </c>
      <c r="L183" s="22">
        <f>IF(ISNUMBER(J183), $B199 * K183, "")</f>
        <v>3794.266441821248</v>
      </c>
      <c r="M183" s="30">
        <v>598</v>
      </c>
      <c r="N183" s="21">
        <f t="shared" si="97"/>
        <v>8.4317032040472171E-3</v>
      </c>
      <c r="O183" s="22">
        <f>IF(ISNUMBER(M183), $B199 * N183, "")</f>
        <v>1264.7554806070825</v>
      </c>
      <c r="Q183" s="275"/>
      <c r="R183" s="275"/>
      <c r="S183" s="275"/>
    </row>
    <row r="184" spans="1:19" ht="17.25" thickBot="1">
      <c r="A184" s="124" t="s">
        <v>246</v>
      </c>
      <c r="B184" s="128">
        <v>368</v>
      </c>
      <c r="C184" s="76">
        <v>-5.8823529399999998E-2</v>
      </c>
      <c r="D184" s="102">
        <v>367</v>
      </c>
      <c r="E184" s="103">
        <f>IF(ISNUMBER(D184), (D184 - $B184) / $B184, "")</f>
        <v>-2.717391304347826E-3</v>
      </c>
      <c r="F184" s="104">
        <f>IF(ISNUMBER(D184), $B199 * E184, "")</f>
        <v>-407.60869565217388</v>
      </c>
      <c r="G184" s="105">
        <v>369</v>
      </c>
      <c r="H184" s="103">
        <f>IF(ISNUMBER(G184), (G184 - $B184) / $B184, "")</f>
        <v>2.717391304347826E-3</v>
      </c>
      <c r="I184" s="106">
        <f>IF(ISNUMBER(G184), $B199 * H184, "")</f>
        <v>407.60869565217388</v>
      </c>
      <c r="J184" s="102">
        <v>368</v>
      </c>
      <c r="K184" s="103">
        <f>IF(ISNUMBER(J184), (J184 - $B184) / $B184, "")</f>
        <v>0</v>
      </c>
      <c r="L184" s="104">
        <f>IF(ISNUMBER(J184), $B199 * K184, "")</f>
        <v>0</v>
      </c>
      <c r="M184" s="105">
        <v>364</v>
      </c>
      <c r="N184" s="103">
        <f>IF(ISNUMBER(M184), (M184 - $B184) / $B184, "")</f>
        <v>-1.0869565217391304E-2</v>
      </c>
      <c r="O184" s="104">
        <f>IF(ISNUMBER(M184), $B199 * N184, "")</f>
        <v>-1630.4347826086955</v>
      </c>
      <c r="Q184" s="275"/>
      <c r="R184" s="275"/>
      <c r="S184" s="275"/>
    </row>
    <row r="185" spans="1:19" ht="17.25" thickBot="1">
      <c r="A185" s="124" t="s">
        <v>69</v>
      </c>
      <c r="B185" s="125">
        <v>12440</v>
      </c>
      <c r="C185" s="73">
        <v>-5.9001512899999997E-2</v>
      </c>
      <c r="D185" s="15">
        <v>12630</v>
      </c>
      <c r="E185" s="32">
        <f t="shared" ref="E185:E188" si="98">IF(ISNUMBER(D185), (D185 - $B185) / $B185, "")</f>
        <v>1.5273311897106109E-2</v>
      </c>
      <c r="F185" s="18">
        <f>IF(ISNUMBER(D185), $B199 * E185, "")</f>
        <v>2290.9967845659162</v>
      </c>
      <c r="G185" s="31">
        <v>12640</v>
      </c>
      <c r="H185" s="32">
        <f t="shared" ref="H185:H188" si="99">IF(ISNUMBER(G185), (G185 - $B185) / $B185, "")</f>
        <v>1.607717041800643E-2</v>
      </c>
      <c r="I185" s="97">
        <f>IF(ISNUMBER(G185), $B199 * H185, "")</f>
        <v>2411.5755627009644</v>
      </c>
      <c r="J185" s="15">
        <v>12670</v>
      </c>
      <c r="K185" s="32">
        <f t="shared" ref="K185:K188" si="100">IF(ISNUMBER(J185), (J185 - $B185) / $B185, "")</f>
        <v>1.8488745980707395E-2</v>
      </c>
      <c r="L185" s="18">
        <f>IF(ISNUMBER(J185), $B199 * K185, "")</f>
        <v>2773.311897106109</v>
      </c>
      <c r="M185" s="31">
        <v>12320</v>
      </c>
      <c r="N185" s="32">
        <f t="shared" ref="N185:N188" si="101">IF(ISNUMBER(M185), (M185 - $B185) / $B185, "")</f>
        <v>-9.6463022508038593E-3</v>
      </c>
      <c r="O185" s="18">
        <f>IF(ISNUMBER(M185), $B199 * N185, "")</f>
        <v>-1446.9453376205788</v>
      </c>
      <c r="Q185" s="275"/>
      <c r="R185" s="275"/>
      <c r="S185" s="275"/>
    </row>
    <row r="186" spans="1:19" ht="17.25" thickBot="1">
      <c r="A186" s="124" t="s">
        <v>272</v>
      </c>
      <c r="B186" s="125">
        <v>2785</v>
      </c>
      <c r="C186" s="73">
        <v>-5.91216216E-2</v>
      </c>
      <c r="D186" s="15">
        <v>2885</v>
      </c>
      <c r="E186" s="32">
        <f t="shared" si="98"/>
        <v>3.5906642728904849E-2</v>
      </c>
      <c r="F186" s="18">
        <f>IF(ISNUMBER(D186), $B199 * E186, "")</f>
        <v>5385.9964093357275</v>
      </c>
      <c r="G186" s="31">
        <v>2895</v>
      </c>
      <c r="H186" s="32">
        <f t="shared" si="99"/>
        <v>3.949730700179533E-2</v>
      </c>
      <c r="I186" s="97">
        <f>IF(ISNUMBER(G186), $B199 * H186, "")</f>
        <v>5924.5960502692997</v>
      </c>
      <c r="J186" s="15">
        <v>2885</v>
      </c>
      <c r="K186" s="32">
        <f t="shared" si="100"/>
        <v>3.5906642728904849E-2</v>
      </c>
      <c r="L186" s="18">
        <f>IF(ISNUMBER(J186), $B199 * K186, "")</f>
        <v>5385.9964093357275</v>
      </c>
      <c r="M186" s="31">
        <v>2840</v>
      </c>
      <c r="N186" s="32">
        <f t="shared" si="101"/>
        <v>1.9748653500897665E-2</v>
      </c>
      <c r="O186" s="18">
        <f>IF(ISNUMBER(M186), $B199 * N186, "")</f>
        <v>2962.2980251346498</v>
      </c>
      <c r="Q186" s="275"/>
      <c r="R186" s="275"/>
      <c r="S186" s="275"/>
    </row>
    <row r="187" spans="1:19" ht="17.25" thickBot="1">
      <c r="A187" s="124" t="s">
        <v>67</v>
      </c>
      <c r="B187" s="125">
        <v>7955</v>
      </c>
      <c r="C187" s="73">
        <v>-6.1356932199999999E-2</v>
      </c>
      <c r="D187" s="15">
        <v>7990</v>
      </c>
      <c r="E187" s="32">
        <f t="shared" si="98"/>
        <v>4.3997485857950975E-3</v>
      </c>
      <c r="F187" s="18">
        <f>IF(ISNUMBER(D187), $B199 * E187, "")</f>
        <v>659.96228786926463</v>
      </c>
      <c r="G187" s="31">
        <v>7995</v>
      </c>
      <c r="H187" s="32">
        <f t="shared" si="99"/>
        <v>5.02828409805154E-3</v>
      </c>
      <c r="I187" s="97">
        <f>IF(ISNUMBER(G187), $B199 * H187, "")</f>
        <v>754.24261470773104</v>
      </c>
      <c r="J187" s="15">
        <v>7980</v>
      </c>
      <c r="K187" s="32">
        <f t="shared" si="100"/>
        <v>3.1426775612822125E-3</v>
      </c>
      <c r="L187" s="18">
        <f>IF(ISNUMBER(J187), $B199 * K187, "")</f>
        <v>471.40163419233187</v>
      </c>
      <c r="M187" s="31">
        <v>7960</v>
      </c>
      <c r="N187" s="32">
        <f t="shared" si="101"/>
        <v>6.285355122564425E-4</v>
      </c>
      <c r="O187" s="18">
        <f>IF(ISNUMBER(M187), $B199 * N187, "")</f>
        <v>94.28032683846638</v>
      </c>
      <c r="Q187" s="33"/>
      <c r="R187" s="33"/>
    </row>
    <row r="188" spans="1:19" ht="17.25" thickBot="1">
      <c r="A188" s="129" t="s">
        <v>282</v>
      </c>
      <c r="B188" s="130">
        <v>172</v>
      </c>
      <c r="C188" s="75">
        <v>-6.5217391299999997E-2</v>
      </c>
      <c r="D188" s="24">
        <v>171</v>
      </c>
      <c r="E188" s="25">
        <f t="shared" si="98"/>
        <v>-5.8139534883720929E-3</v>
      </c>
      <c r="F188" s="100">
        <f>IF(ISNUMBER(D188), $B199 * E188, "")</f>
        <v>-872.09302325581393</v>
      </c>
      <c r="G188" s="98">
        <v>171</v>
      </c>
      <c r="H188" s="25">
        <f t="shared" si="99"/>
        <v>-5.8139534883720929E-3</v>
      </c>
      <c r="I188" s="99">
        <f>IF(ISNUMBER(G188), $B199 * H188, "")</f>
        <v>-872.09302325581393</v>
      </c>
      <c r="J188" s="24">
        <v>171</v>
      </c>
      <c r="K188" s="25">
        <f t="shared" si="100"/>
        <v>-5.8139534883720929E-3</v>
      </c>
      <c r="L188" s="100">
        <f>IF(ISNUMBER(J188), $B199 * K188, "")</f>
        <v>-872.09302325581393</v>
      </c>
      <c r="M188" s="98">
        <v>171</v>
      </c>
      <c r="N188" s="25">
        <f t="shared" si="101"/>
        <v>-5.8139534883720929E-3</v>
      </c>
      <c r="O188" s="100">
        <f>IF(ISNUMBER(M188), $B199 * N188, "")</f>
        <v>-872.09302325581393</v>
      </c>
      <c r="Q188" s="284"/>
      <c r="R188" s="285"/>
      <c r="S188" s="286"/>
    </row>
    <row r="189" spans="1:19">
      <c r="A189" s="122" t="s">
        <v>258</v>
      </c>
      <c r="B189" s="123">
        <v>671</v>
      </c>
      <c r="C189" s="72">
        <v>-6.8055555599999998E-2</v>
      </c>
      <c r="D189" s="13">
        <v>678</v>
      </c>
      <c r="E189" s="14">
        <f>IF(ISNUMBER(D189), (D189 - $B189) / $B189, "")</f>
        <v>1.0432190760059613E-2</v>
      </c>
      <c r="F189" s="16">
        <f>IF(ISNUMBER(D189), $B199 * E189, "")</f>
        <v>1564.8286140089419</v>
      </c>
      <c r="G189" s="29">
        <v>671</v>
      </c>
      <c r="H189" s="14">
        <f>IF(ISNUMBER(G189), (G189 - $B189) / $B189, "")</f>
        <v>0</v>
      </c>
      <c r="I189" s="96">
        <f>IF(ISNUMBER(G189), $B199 * H189, "")</f>
        <v>0</v>
      </c>
      <c r="J189" s="13">
        <v>676</v>
      </c>
      <c r="K189" s="14">
        <f>IF(ISNUMBER(J189), (J189 - $B189) / $B189, "")</f>
        <v>7.4515648286140089E-3</v>
      </c>
      <c r="L189" s="16">
        <f>IF(ISNUMBER(J189), $B199 * K189, "")</f>
        <v>1117.7347242921014</v>
      </c>
      <c r="M189" s="29">
        <v>663</v>
      </c>
      <c r="N189" s="14">
        <f>IF(ISNUMBER(M189), (M189 - $B189) / $B189, "")</f>
        <v>-1.1922503725782414E-2</v>
      </c>
      <c r="O189" s="16">
        <f>IF(ISNUMBER(M189), $B199 * N189, "")</f>
        <v>-1788.3755588673621</v>
      </c>
      <c r="Q189" s="287"/>
      <c r="R189" s="288"/>
      <c r="S189" s="289"/>
    </row>
    <row r="190" spans="1:19" ht="17.25" thickBot="1">
      <c r="A190" s="124" t="s">
        <v>274</v>
      </c>
      <c r="B190" s="125">
        <v>8955</v>
      </c>
      <c r="C190" s="73">
        <v>-7.0576024900000006E-2</v>
      </c>
      <c r="D190" s="15">
        <v>8970</v>
      </c>
      <c r="E190" s="32">
        <f t="shared" ref="E190:E193" si="102">IF(ISNUMBER(D190), (D190 - $B190) / $B190, "")</f>
        <v>1.6750418760469012E-3</v>
      </c>
      <c r="F190" s="18">
        <f>IF(ISNUMBER(D190), $B199 * E190, "")</f>
        <v>251.25628140703517</v>
      </c>
      <c r="G190" s="31">
        <v>8960</v>
      </c>
      <c r="H190" s="32">
        <f t="shared" ref="H190:H193" si="103">IF(ISNUMBER(G190), (G190 - $B190) / $B190, "")</f>
        <v>5.5834729201563373E-4</v>
      </c>
      <c r="I190" s="97">
        <f>IF(ISNUMBER(G190), $B199 * H190, "")</f>
        <v>83.752093802345058</v>
      </c>
      <c r="J190" s="15">
        <v>8970</v>
      </c>
      <c r="K190" s="32">
        <f t="shared" ref="K190:K193" si="104">IF(ISNUMBER(J190), (J190 - $B190) / $B190, "")</f>
        <v>1.6750418760469012E-3</v>
      </c>
      <c r="L190" s="18">
        <f>IF(ISNUMBER(J190), $B199 * K190, "")</f>
        <v>251.25628140703517</v>
      </c>
      <c r="M190" s="31">
        <v>8850</v>
      </c>
      <c r="N190" s="32">
        <f t="shared" ref="N190:N193" si="105">IF(ISNUMBER(M190), (M190 - $B190) / $B190, "")</f>
        <v>-1.1725293132328308E-2</v>
      </c>
      <c r="O190" s="18">
        <f>IF(ISNUMBER(M190), $B199 * N190, "")</f>
        <v>-1758.7939698492462</v>
      </c>
      <c r="Q190" s="290"/>
      <c r="R190" s="291"/>
      <c r="S190" s="292"/>
    </row>
    <row r="191" spans="1:19" ht="17.25" thickBot="1">
      <c r="A191" s="124" t="s">
        <v>94</v>
      </c>
      <c r="B191" s="125">
        <v>149900</v>
      </c>
      <c r="C191" s="73">
        <v>-7.0675759500000004E-2</v>
      </c>
      <c r="D191" s="15">
        <v>156600</v>
      </c>
      <c r="E191" s="32">
        <f t="shared" si="102"/>
        <v>4.4696464309539691E-2</v>
      </c>
      <c r="F191" s="18">
        <f>IF(ISNUMBER(D191), $B199 * E191, "")</f>
        <v>6704.4696464309536</v>
      </c>
      <c r="G191" s="31">
        <v>153350</v>
      </c>
      <c r="H191" s="32">
        <f t="shared" si="103"/>
        <v>2.3015343562374918E-2</v>
      </c>
      <c r="I191" s="97">
        <f>IF(ISNUMBER(G191), $B199 * H191, "")</f>
        <v>3452.3015343562379</v>
      </c>
      <c r="J191" s="15">
        <v>152100</v>
      </c>
      <c r="K191" s="32">
        <f t="shared" si="104"/>
        <v>1.4676450967311541E-2</v>
      </c>
      <c r="L191" s="18">
        <f>IF(ISNUMBER(J191), $B199 * K191, "")</f>
        <v>2201.4676450967308</v>
      </c>
      <c r="M191" s="31">
        <v>150100</v>
      </c>
      <c r="N191" s="32">
        <f t="shared" si="105"/>
        <v>1.33422281521014E-3</v>
      </c>
      <c r="O191" s="18">
        <f>IF(ISNUMBER(M191), $B199 * N191, "")</f>
        <v>200.13342228152101</v>
      </c>
      <c r="Q191" s="275"/>
      <c r="R191" s="275"/>
      <c r="S191" s="275"/>
    </row>
    <row r="192" spans="1:19" ht="17.25" thickBot="1">
      <c r="A192" s="124" t="s">
        <v>262</v>
      </c>
      <c r="B192" s="125">
        <v>1420</v>
      </c>
      <c r="C192" s="73">
        <v>-7.1895424799999996E-2</v>
      </c>
      <c r="D192" s="15">
        <v>1410</v>
      </c>
      <c r="E192" s="32">
        <f t="shared" si="102"/>
        <v>-7.0422535211267607E-3</v>
      </c>
      <c r="F192" s="18">
        <f>IF(ISNUMBER(D192), $B199 * E192, "")</f>
        <v>-1056.338028169014</v>
      </c>
      <c r="G192" s="31">
        <v>1420</v>
      </c>
      <c r="H192" s="32">
        <f t="shared" si="103"/>
        <v>0</v>
      </c>
      <c r="I192" s="97">
        <f>IF(ISNUMBER(G192), $B199 * H192, "")</f>
        <v>0</v>
      </c>
      <c r="J192" s="15">
        <v>1415</v>
      </c>
      <c r="K192" s="32">
        <f t="shared" si="104"/>
        <v>-3.5211267605633804E-3</v>
      </c>
      <c r="L192" s="18">
        <f>IF(ISNUMBER(J192), $B199 * K192, "")</f>
        <v>-528.16901408450701</v>
      </c>
      <c r="M192" s="31">
        <v>1350</v>
      </c>
      <c r="N192" s="32">
        <f t="shared" si="105"/>
        <v>-4.9295774647887321E-2</v>
      </c>
      <c r="O192" s="18">
        <f>IF(ISNUMBER(M192), $B199 * N192, "")</f>
        <v>-7394.3661971830979</v>
      </c>
      <c r="Q192" s="270"/>
      <c r="R192" s="270"/>
      <c r="S192" s="270"/>
    </row>
    <row r="193" spans="1:19" ht="17.25" thickBot="1">
      <c r="A193" s="126" t="s">
        <v>108</v>
      </c>
      <c r="B193" s="127">
        <v>58710</v>
      </c>
      <c r="C193" s="74">
        <v>-7.5141776899999999E-2</v>
      </c>
      <c r="D193" s="20">
        <v>64500</v>
      </c>
      <c r="E193" s="21">
        <f t="shared" si="102"/>
        <v>9.8620337250894224E-2</v>
      </c>
      <c r="F193" s="22">
        <f>IF(ISNUMBER(D193), $B199 * E193, "")</f>
        <v>14793.050587634134</v>
      </c>
      <c r="G193" s="30">
        <v>63080</v>
      </c>
      <c r="H193" s="21">
        <f t="shared" si="103"/>
        <v>7.4433656957928807E-2</v>
      </c>
      <c r="I193" s="101">
        <f>IF(ISNUMBER(G193), $B199 * H193, "")</f>
        <v>11165.048543689321</v>
      </c>
      <c r="J193" s="20">
        <v>62260</v>
      </c>
      <c r="K193" s="21">
        <f t="shared" si="104"/>
        <v>6.0466700732413559E-2</v>
      </c>
      <c r="L193" s="22">
        <f>IF(ISNUMBER(J193), $B199 * K193, "")</f>
        <v>9070.0051098620334</v>
      </c>
      <c r="M193" s="30">
        <v>61820</v>
      </c>
      <c r="N193" s="21">
        <f t="shared" si="105"/>
        <v>5.297223641628343E-2</v>
      </c>
      <c r="O193" s="22">
        <f>IF(ISNUMBER(M193), $B199 * N193, "")</f>
        <v>7945.8354624425147</v>
      </c>
      <c r="Q193" s="270"/>
      <c r="R193" s="270"/>
      <c r="S193" s="270"/>
    </row>
    <row r="194" spans="1:19" ht="17.25" thickBot="1">
      <c r="A194" s="124" t="s">
        <v>204</v>
      </c>
      <c r="B194" s="128">
        <v>7760</v>
      </c>
      <c r="C194" s="76">
        <v>-7.5640262099999994E-2</v>
      </c>
      <c r="D194" s="102">
        <v>7775</v>
      </c>
      <c r="E194" s="103">
        <f>IF(ISNUMBER(D194), (D194 - $B194) / $B194, "")</f>
        <v>1.9329896907216496E-3</v>
      </c>
      <c r="F194" s="104">
        <f>IF(ISNUMBER(D194), $B199 * E194, "")</f>
        <v>289.94845360824741</v>
      </c>
      <c r="G194" s="105">
        <v>7780</v>
      </c>
      <c r="H194" s="103">
        <f>IF(ISNUMBER(G194), (G194 - $B194) / $B194, "")</f>
        <v>2.5773195876288659E-3</v>
      </c>
      <c r="I194" s="106">
        <f>IF(ISNUMBER(G194), $B199 * H194, "")</f>
        <v>386.59793814432987</v>
      </c>
      <c r="J194" s="102">
        <v>7835</v>
      </c>
      <c r="K194" s="103">
        <f>IF(ISNUMBER(J194), (J194 - $B194) / $B194, "")</f>
        <v>9.6649484536082478E-3</v>
      </c>
      <c r="L194" s="104">
        <f>IF(ISNUMBER(J194), $B199 * K194, "")</f>
        <v>1449.7422680412371</v>
      </c>
      <c r="M194" s="105">
        <v>7695</v>
      </c>
      <c r="N194" s="103">
        <f>IF(ISNUMBER(M194), (M194 - $B194) / $B194, "")</f>
        <v>-8.3762886597938142E-3</v>
      </c>
      <c r="O194" s="104">
        <f>IF(ISNUMBER(M194), $B199 * N194, "")</f>
        <v>-1256.4432989690722</v>
      </c>
      <c r="Q194" s="275"/>
      <c r="R194" s="275"/>
      <c r="S194" s="275"/>
    </row>
    <row r="195" spans="1:19" ht="17.25" thickBot="1">
      <c r="A195" s="124" t="s">
        <v>276</v>
      </c>
      <c r="B195" s="125">
        <v>4995</v>
      </c>
      <c r="C195" s="73">
        <v>-7.9262672800000003E-2</v>
      </c>
      <c r="D195" s="15">
        <v>5280</v>
      </c>
      <c r="E195" s="32">
        <f t="shared" ref="E195:E198" si="106">IF(ISNUMBER(D195), (D195 - $B195) / $B195, "")</f>
        <v>5.7057057057057055E-2</v>
      </c>
      <c r="F195" s="18">
        <f>IF(ISNUMBER(D195), $B199 * E195, "")</f>
        <v>8558.5585585585577</v>
      </c>
      <c r="G195" s="31">
        <v>5520</v>
      </c>
      <c r="H195" s="32">
        <f t="shared" ref="H195:H198" si="107">IF(ISNUMBER(G195), (G195 - $B195) / $B195, "")</f>
        <v>0.10510510510510511</v>
      </c>
      <c r="I195" s="97">
        <f>IF(ISNUMBER(G195), $B199 * H195, "")</f>
        <v>15765.765765765766</v>
      </c>
      <c r="J195" s="15">
        <v>5385</v>
      </c>
      <c r="K195" s="32">
        <f t="shared" ref="K195:K198" si="108">IF(ISNUMBER(J195), (J195 - $B195) / $B195, "")</f>
        <v>7.8078078078078081E-2</v>
      </c>
      <c r="L195" s="18">
        <f>IF(ISNUMBER(J195), $B199 * K195, "")</f>
        <v>11711.711711711712</v>
      </c>
      <c r="M195" s="31">
        <v>5365</v>
      </c>
      <c r="N195" s="32">
        <f t="shared" ref="N195:N198" si="109">IF(ISNUMBER(M195), (M195 - $B195) / $B195, "")</f>
        <v>7.407407407407407E-2</v>
      </c>
      <c r="O195" s="18">
        <f>IF(ISNUMBER(M195), $B199 * N195, "")</f>
        <v>11111.111111111111</v>
      </c>
      <c r="Q195" s="275"/>
      <c r="R195" s="275"/>
      <c r="S195" s="275"/>
    </row>
    <row r="196" spans="1:19" ht="17.25" thickBot="1">
      <c r="A196" s="124" t="s">
        <v>102</v>
      </c>
      <c r="B196" s="125">
        <v>144450</v>
      </c>
      <c r="C196" s="73">
        <v>-7.9349904400000004E-2</v>
      </c>
      <c r="D196" s="15">
        <v>153650</v>
      </c>
      <c r="E196" s="32">
        <f t="shared" si="106"/>
        <v>6.3689858082381451E-2</v>
      </c>
      <c r="F196" s="18">
        <f>IF(ISNUMBER(D196), $B199 * E196, "")</f>
        <v>9553.4787123572169</v>
      </c>
      <c r="G196" s="31">
        <v>150100</v>
      </c>
      <c r="H196" s="32">
        <f t="shared" si="107"/>
        <v>3.9113880235375563E-2</v>
      </c>
      <c r="I196" s="97">
        <f>IF(ISNUMBER(G196), $B199 * H196, "")</f>
        <v>5867.0820353063345</v>
      </c>
      <c r="J196" s="15">
        <v>149200</v>
      </c>
      <c r="K196" s="32">
        <f t="shared" si="108"/>
        <v>3.2883350640359986E-2</v>
      </c>
      <c r="L196" s="18">
        <f>IF(ISNUMBER(J196), $B199 * K196, "")</f>
        <v>4932.5025960539979</v>
      </c>
      <c r="M196" s="31">
        <v>149200</v>
      </c>
      <c r="N196" s="32">
        <f t="shared" si="109"/>
        <v>3.2883350640359986E-2</v>
      </c>
      <c r="O196" s="18">
        <f>IF(ISNUMBER(M196), $B199 * N196, "")</f>
        <v>4932.5025960539979</v>
      </c>
      <c r="Q196" s="275"/>
      <c r="R196" s="275"/>
      <c r="S196" s="275"/>
    </row>
    <row r="197" spans="1:19">
      <c r="A197" s="124" t="s">
        <v>182</v>
      </c>
      <c r="B197" s="125">
        <v>553</v>
      </c>
      <c r="C197" s="73">
        <v>-9.4926350199999995E-2</v>
      </c>
      <c r="D197" s="15">
        <v>550</v>
      </c>
      <c r="E197" s="32">
        <f t="shared" si="106"/>
        <v>-5.4249547920433997E-3</v>
      </c>
      <c r="F197" s="18">
        <f>IF(ISNUMBER(D197), $B199 * E197, "")</f>
        <v>-813.74321880650996</v>
      </c>
      <c r="G197" s="31">
        <v>546</v>
      </c>
      <c r="H197" s="32">
        <f t="shared" si="107"/>
        <v>-1.2658227848101266E-2</v>
      </c>
      <c r="I197" s="97">
        <f>IF(ISNUMBER(G197), $B199 * H197, "")</f>
        <v>-1898.7341772151899</v>
      </c>
      <c r="J197" s="15">
        <v>544</v>
      </c>
      <c r="K197" s="32">
        <f t="shared" si="108"/>
        <v>-1.62748643761302E-2</v>
      </c>
      <c r="L197" s="18">
        <f>IF(ISNUMBER(J197), $B199 * K197, "")</f>
        <v>-2441.2296564195299</v>
      </c>
      <c r="M197" s="31">
        <v>533</v>
      </c>
      <c r="N197" s="32">
        <f t="shared" si="109"/>
        <v>-3.6166365280289332E-2</v>
      </c>
      <c r="O197" s="18">
        <f>IF(ISNUMBER(M197), $B199 * N197, "")</f>
        <v>-5424.9547920433997</v>
      </c>
      <c r="Q197" s="297"/>
      <c r="R197" s="298"/>
      <c r="S197" s="299"/>
    </row>
    <row r="198" spans="1:19" ht="17.25" thickBot="1">
      <c r="A198" s="129" t="s">
        <v>296</v>
      </c>
      <c r="B198" s="130">
        <v>594</v>
      </c>
      <c r="C198" s="75">
        <v>-0.23255813950000001</v>
      </c>
      <c r="D198" s="24">
        <v>640</v>
      </c>
      <c r="E198" s="25">
        <f t="shared" si="106"/>
        <v>7.7441077441077436E-2</v>
      </c>
      <c r="F198" s="100">
        <f>IF(ISNUMBER(D198), $B199 * E198, "")</f>
        <v>11616.161616161615</v>
      </c>
      <c r="G198" s="98">
        <v>637</v>
      </c>
      <c r="H198" s="25">
        <f t="shared" si="107"/>
        <v>7.2390572390572394E-2</v>
      </c>
      <c r="I198" s="99">
        <f>IF(ISNUMBER(G198), $B199 * H198, "")</f>
        <v>10858.585858585859</v>
      </c>
      <c r="J198" s="24">
        <v>636</v>
      </c>
      <c r="K198" s="25">
        <f t="shared" si="108"/>
        <v>7.0707070707070704E-2</v>
      </c>
      <c r="L198" s="100">
        <f>IF(ISNUMBER(J198), $B199 * K198, "")</f>
        <v>10606.060606060606</v>
      </c>
      <c r="M198" s="98">
        <v>632</v>
      </c>
      <c r="N198" s="25">
        <f t="shared" si="109"/>
        <v>6.3973063973063973E-2</v>
      </c>
      <c r="O198" s="100">
        <f>IF(ISNUMBER(M198), $B199 * N198, "")</f>
        <v>9595.9595959595954</v>
      </c>
      <c r="Q198" s="300"/>
      <c r="R198" s="301"/>
      <c r="S198" s="302"/>
    </row>
    <row r="199" spans="1:19" ht="17.25" thickBot="1">
      <c r="A199" s="131" t="s">
        <v>301</v>
      </c>
      <c r="B199" s="308">
        <f>$B$37</f>
        <v>150000</v>
      </c>
      <c r="C199" s="309"/>
      <c r="D199" s="26" t="s">
        <v>302</v>
      </c>
      <c r="E199" s="27">
        <f>IF(COUNT(E179:E198), SUM(E179:E198) / COUNT(E179:E198), 0)</f>
        <v>2.3263667503166295E-2</v>
      </c>
      <c r="F199" s="28">
        <f>SUM(F179:F198)</f>
        <v>69791.002509498881</v>
      </c>
      <c r="G199" s="26" t="s">
        <v>302</v>
      </c>
      <c r="H199" s="27">
        <f>IF(COUNT(H179:H198), SUM(H179:H198) / COUNT(H179:H198), 0)</f>
        <v>2.3315909889067479E-2</v>
      </c>
      <c r="I199" s="28">
        <f>SUM(I179:I198)</f>
        <v>69947.729667202453</v>
      </c>
      <c r="J199" s="26" t="s">
        <v>302</v>
      </c>
      <c r="K199" s="27">
        <f>IF(COUNT(K179:K198), SUM(K179:K198) / COUNT(K179:K198), 0)</f>
        <v>1.945283328123237E-2</v>
      </c>
      <c r="L199" s="28">
        <f>SUM(L179:L198)</f>
        <v>58358.499843697115</v>
      </c>
      <c r="M199" s="26" t="s">
        <v>302</v>
      </c>
      <c r="N199" s="27">
        <f>IF(COUNT(N179:N198), SUM(N179:N198) / COUNT(N179:N198), 0)</f>
        <v>5.7269407991648088E-3</v>
      </c>
      <c r="O199" s="28">
        <f>SUM(O179:O198)</f>
        <v>17180.822397494427</v>
      </c>
      <c r="Q199" s="303"/>
      <c r="R199" s="304"/>
      <c r="S199" s="305"/>
    </row>
  </sheetData>
  <mergeCells count="264">
    <mergeCell ref="Q1:R1"/>
    <mergeCell ref="B2:F2"/>
    <mergeCell ref="G2:I2"/>
    <mergeCell ref="K2:O2"/>
    <mergeCell ref="B5:F5"/>
    <mergeCell ref="G5:I5"/>
    <mergeCell ref="K5:O5"/>
    <mergeCell ref="B14:C14"/>
    <mergeCell ref="D14:F14"/>
    <mergeCell ref="G14:I14"/>
    <mergeCell ref="J14:L14"/>
    <mergeCell ref="M14:O14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B7:F7"/>
    <mergeCell ref="G7:I7"/>
    <mergeCell ref="K7:O7"/>
    <mergeCell ref="B6:F6"/>
    <mergeCell ref="G6:I6"/>
    <mergeCell ref="K6:O6"/>
    <mergeCell ref="S13:S15"/>
    <mergeCell ref="B11:F11"/>
    <mergeCell ref="G11:I11"/>
    <mergeCell ref="K11:O11"/>
    <mergeCell ref="Q13:Q15"/>
    <mergeCell ref="R13:R15"/>
    <mergeCell ref="Q8:R8"/>
    <mergeCell ref="B9:F9"/>
    <mergeCell ref="G9:I9"/>
    <mergeCell ref="K9:O9"/>
    <mergeCell ref="B10:F10"/>
    <mergeCell ref="G10:I10"/>
    <mergeCell ref="K10:O10"/>
    <mergeCell ref="M15:O15"/>
    <mergeCell ref="J15:L15"/>
    <mergeCell ref="G15:I15"/>
    <mergeCell ref="D15:F15"/>
    <mergeCell ref="B15:C15"/>
    <mergeCell ref="A13:O13"/>
    <mergeCell ref="B8:F8"/>
    <mergeCell ref="G8:I8"/>
    <mergeCell ref="K8:O8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Q16:Q18"/>
    <mergeCell ref="R16:R18"/>
    <mergeCell ref="M41:O41"/>
    <mergeCell ref="A42:A43"/>
    <mergeCell ref="B42:C42"/>
    <mergeCell ref="D42:F42"/>
    <mergeCell ref="G42:I42"/>
    <mergeCell ref="J42:L42"/>
    <mergeCell ref="M42:O42"/>
    <mergeCell ref="Q35:S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47" priority="157">
      <formula>AND($N17 &gt; 0, ISNUMBER($N17))</formula>
    </cfRule>
    <cfRule type="expression" dxfId="1246" priority="158">
      <formula>AND($N17 = 0 * ISNUMBER($N17))</formula>
    </cfRule>
    <cfRule type="expression" dxfId="1245" priority="159">
      <formula>AND($N17 &lt; 0, ISNUMBER($N17))</formula>
    </cfRule>
  </conditionalFormatting>
  <conditionalFormatting sqref="A17:F36">
    <cfRule type="expression" dxfId="1244" priority="166">
      <formula>AND($E17 &gt; 0, ISNUMBER($E17))</formula>
    </cfRule>
    <cfRule type="expression" dxfId="1243" priority="167">
      <formula>AND($E17 = 0 * ISNUMBER($E17))</formula>
    </cfRule>
    <cfRule type="expression" dxfId="1242" priority="168">
      <formula>AND($E17 &lt; 0, ISNUMBER($E17))</formula>
    </cfRule>
  </conditionalFormatting>
  <conditionalFormatting sqref="A17:C36 G17:I36">
    <cfRule type="expression" dxfId="1241" priority="163">
      <formula>AND($H17 &gt; 0, ISNUMBER($H17))</formula>
    </cfRule>
    <cfRule type="expression" dxfId="1240" priority="164">
      <formula>AND($H17 = 0 * ISNUMBER($H17))</formula>
    </cfRule>
    <cfRule type="expression" dxfId="1239" priority="165">
      <formula>AND($H17 &lt; 0, ISNUMBER($H17))</formula>
    </cfRule>
  </conditionalFormatting>
  <conditionalFormatting sqref="A17:C36 J17:L36">
    <cfRule type="expression" dxfId="1238" priority="160">
      <formula>AND($K17 &gt; 0, ISNUMBER($K17))</formula>
    </cfRule>
    <cfRule type="expression" dxfId="1237" priority="161">
      <formula>AND($K17 = 0 * ISNUMBER($K17))</formula>
    </cfRule>
    <cfRule type="expression" dxfId="1236" priority="162">
      <formula>AND($K17 &lt; 0, ISNUMBER($K17))</formula>
    </cfRule>
  </conditionalFormatting>
  <conditionalFormatting sqref="D16:F16 E37:F37 D15">
    <cfRule type="expression" dxfId="1235" priority="154">
      <formula>$E$37 &gt; 0</formula>
    </cfRule>
    <cfRule type="expression" dxfId="1234" priority="155">
      <formula>$E$37 = 0</formula>
    </cfRule>
    <cfRule type="expression" dxfId="1233" priority="156">
      <formula>$E$37 &lt; 0</formula>
    </cfRule>
  </conditionalFormatting>
  <conditionalFormatting sqref="G16:I16 H37:I37 G15">
    <cfRule type="expression" dxfId="1232" priority="151">
      <formula>$H$37 &gt; 0</formula>
    </cfRule>
    <cfRule type="expression" dxfId="1231" priority="152">
      <formula>$H$37 = 0</formula>
    </cfRule>
    <cfRule type="expression" dxfId="1230" priority="153">
      <formula>$H$37 &lt; 0</formula>
    </cfRule>
  </conditionalFormatting>
  <conditionalFormatting sqref="J16:L16 K37:L37 J15">
    <cfRule type="expression" dxfId="1229" priority="148">
      <formula>$K$37 &gt; 0</formula>
    </cfRule>
    <cfRule type="expression" dxfId="1228" priority="149">
      <formula>$K$37 = 0</formula>
    </cfRule>
    <cfRule type="expression" dxfId="1227" priority="150">
      <formula>$K$37 &lt; 0</formula>
    </cfRule>
  </conditionalFormatting>
  <conditionalFormatting sqref="M16:O16 N37:O37 M15">
    <cfRule type="expression" dxfId="1226" priority="145">
      <formula>$N$37 &gt; 0</formula>
    </cfRule>
    <cfRule type="expression" dxfId="1225" priority="146">
      <formula>$N$37 = 0</formula>
    </cfRule>
    <cfRule type="expression" dxfId="1224" priority="147">
      <formula>$N$37 &lt; 0</formula>
    </cfRule>
  </conditionalFormatting>
  <conditionalFormatting sqref="A44:C63 M44:O63">
    <cfRule type="expression" dxfId="1223" priority="133">
      <formula>AND($N44 &gt; 0, ISNUMBER($N44))</formula>
    </cfRule>
    <cfRule type="expression" dxfId="1222" priority="134">
      <formula>AND($N44 = 0 * ISNUMBER($N44))</formula>
    </cfRule>
    <cfRule type="expression" dxfId="1221" priority="135">
      <formula>AND($N44 &lt; 0, ISNUMBER($N44))</formula>
    </cfRule>
  </conditionalFormatting>
  <conditionalFormatting sqref="A44:F63">
    <cfRule type="expression" dxfId="1220" priority="142">
      <formula>AND($E44 &gt; 0, ISNUMBER($E44))</formula>
    </cfRule>
    <cfRule type="expression" dxfId="1219" priority="143">
      <formula>AND($E44 = 0 * ISNUMBER($E44))</formula>
    </cfRule>
    <cfRule type="expression" dxfId="1218" priority="144">
      <formula>AND($E44 &lt; 0, ISNUMBER($E44))</formula>
    </cfRule>
  </conditionalFormatting>
  <conditionalFormatting sqref="A44:C63 G44:I63">
    <cfRule type="expression" dxfId="1217" priority="139">
      <formula>AND($H44 &gt; 0, ISNUMBER($H44))</formula>
    </cfRule>
    <cfRule type="expression" dxfId="1216" priority="140">
      <formula>AND($H44 = 0 * ISNUMBER($H44))</formula>
    </cfRule>
    <cfRule type="expression" dxfId="1215" priority="141">
      <formula>AND($H44 &lt; 0, ISNUMBER($H44))</formula>
    </cfRule>
  </conditionalFormatting>
  <conditionalFormatting sqref="A44:C63 J44:L63">
    <cfRule type="expression" dxfId="1214" priority="136">
      <formula>AND($K44 &gt; 0, ISNUMBER($K44))</formula>
    </cfRule>
    <cfRule type="expression" dxfId="1213" priority="137">
      <formula>AND($K44 = 0 * ISNUMBER($K44))</formula>
    </cfRule>
    <cfRule type="expression" dxfId="1212" priority="138">
      <formula>AND($K44 &lt; 0, ISNUMBER($K44))</formula>
    </cfRule>
  </conditionalFormatting>
  <conditionalFormatting sqref="D42:F43 E64:F64">
    <cfRule type="expression" dxfId="1211" priority="130">
      <formula>$E$64 &gt; 0</formula>
    </cfRule>
    <cfRule type="expression" dxfId="1210" priority="131">
      <formula>$E$64 = 0</formula>
    </cfRule>
    <cfRule type="expression" dxfId="1209" priority="132">
      <formula>$E$64 &lt; 0</formula>
    </cfRule>
  </conditionalFormatting>
  <conditionalFormatting sqref="G42:I43 H64:I64">
    <cfRule type="expression" dxfId="1208" priority="127">
      <formula>$H$64 &gt; 0</formula>
    </cfRule>
    <cfRule type="expression" dxfId="1207" priority="128">
      <formula>$H$64 = 0</formula>
    </cfRule>
    <cfRule type="expression" dxfId="1206" priority="129">
      <formula>$H$64 &lt; 0</formula>
    </cfRule>
  </conditionalFormatting>
  <conditionalFormatting sqref="J42:L43 K64:L64">
    <cfRule type="expression" dxfId="1205" priority="124">
      <formula>$K$64 &gt; 0</formula>
    </cfRule>
    <cfRule type="expression" dxfId="1204" priority="125">
      <formula>$K$64 = 0</formula>
    </cfRule>
    <cfRule type="expression" dxfId="1203" priority="126">
      <formula>$K$64 &lt; 0</formula>
    </cfRule>
  </conditionalFormatting>
  <conditionalFormatting sqref="M42:O43 N64:O64">
    <cfRule type="expression" dxfId="1202" priority="121">
      <formula>$N$64 &gt; 0</formula>
    </cfRule>
    <cfRule type="expression" dxfId="1201" priority="122">
      <formula>$N$64 = 0</formula>
    </cfRule>
    <cfRule type="expression" dxfId="1200" priority="123">
      <formula>$N$64 &lt; 0</formula>
    </cfRule>
  </conditionalFormatting>
  <conditionalFormatting sqref="A71:C90 M71:O90">
    <cfRule type="expression" dxfId="1199" priority="109">
      <formula>AND($N71 &gt; 0, ISNUMBER($N71))</formula>
    </cfRule>
    <cfRule type="expression" dxfId="1198" priority="110">
      <formula>AND($N71 = 0 * ISNUMBER($N71))</formula>
    </cfRule>
    <cfRule type="expression" dxfId="1197" priority="111">
      <formula>AND($N71 &lt; 0, ISNUMBER($N71))</formula>
    </cfRule>
  </conditionalFormatting>
  <conditionalFormatting sqref="A71:F90">
    <cfRule type="expression" dxfId="1196" priority="118">
      <formula>AND($E71 &gt; 0, ISNUMBER($E71))</formula>
    </cfRule>
    <cfRule type="expression" dxfId="1195" priority="119">
      <formula>AND($E71 = 0 * ISNUMBER($E71))</formula>
    </cfRule>
    <cfRule type="expression" dxfId="1194" priority="120">
      <formula>AND($E71 &lt; 0, ISNUMBER($E71))</formula>
    </cfRule>
  </conditionalFormatting>
  <conditionalFormatting sqref="A71:C90 G71:I90">
    <cfRule type="expression" dxfId="1193" priority="115">
      <formula>AND($H71 &gt; 0, ISNUMBER($H71))</formula>
    </cfRule>
    <cfRule type="expression" dxfId="1192" priority="116">
      <formula>AND($H71 = 0 * ISNUMBER($H71))</formula>
    </cfRule>
    <cfRule type="expression" dxfId="1191" priority="117">
      <formula>AND($H71 &lt; 0, ISNUMBER($H71))</formula>
    </cfRule>
  </conditionalFormatting>
  <conditionalFormatting sqref="A71:C90 J71:L90">
    <cfRule type="expression" dxfId="1190" priority="112">
      <formula>AND($K71 &gt; 0, ISNUMBER($K71))</formula>
    </cfRule>
    <cfRule type="expression" dxfId="1189" priority="113">
      <formula>AND($K71 = 0 * ISNUMBER($K71))</formula>
    </cfRule>
    <cfRule type="expression" dxfId="1188" priority="114">
      <formula>AND($K71 &lt; 0, ISNUMBER($K71))</formula>
    </cfRule>
  </conditionalFormatting>
  <conditionalFormatting sqref="D69:F70 E91:F91">
    <cfRule type="expression" dxfId="1187" priority="106">
      <formula>$E$91 &gt; 0</formula>
    </cfRule>
    <cfRule type="expression" dxfId="1186" priority="107">
      <formula>$E$91 = 0</formula>
    </cfRule>
    <cfRule type="expression" dxfId="1185" priority="108">
      <formula>$E$91 &lt; 0</formula>
    </cfRule>
  </conditionalFormatting>
  <conditionalFormatting sqref="G69:I70 H91:I91">
    <cfRule type="expression" dxfId="1184" priority="103">
      <formula>$H$91 &gt; 0</formula>
    </cfRule>
    <cfRule type="expression" dxfId="1183" priority="104">
      <formula>$H$91 = 0</formula>
    </cfRule>
    <cfRule type="expression" dxfId="1182" priority="105">
      <formula>$H$91 &lt; 0</formula>
    </cfRule>
  </conditionalFormatting>
  <conditionalFormatting sqref="J69:L70 K91:L91">
    <cfRule type="expression" dxfId="1181" priority="100">
      <formula>$K$91 &gt; 0</formula>
    </cfRule>
    <cfRule type="expression" dxfId="1180" priority="101">
      <formula>$K$91 = 0</formula>
    </cfRule>
    <cfRule type="expression" dxfId="1179" priority="102">
      <formula>$K$91 &lt; 0</formula>
    </cfRule>
  </conditionalFormatting>
  <conditionalFormatting sqref="M69:O70 N91:O91">
    <cfRule type="expression" dxfId="1178" priority="97">
      <formula>$N$91 &gt; 0</formula>
    </cfRule>
    <cfRule type="expression" dxfId="1177" priority="98">
      <formula>$N$91 = 0</formula>
    </cfRule>
    <cfRule type="expression" dxfId="1176" priority="99">
      <formula>$N$91 &lt; 0</formula>
    </cfRule>
  </conditionalFormatting>
  <conditionalFormatting sqref="A98:C117 M98:O117">
    <cfRule type="expression" dxfId="1175" priority="85">
      <formula>AND($N98 &gt; 0, ISNUMBER($N98))</formula>
    </cfRule>
    <cfRule type="expression" dxfId="1174" priority="86">
      <formula>AND($N98 = 0 * ISNUMBER($N98))</formula>
    </cfRule>
    <cfRule type="expression" dxfId="1173" priority="87">
      <formula>AND($N98 &lt; 0, ISNUMBER($N98))</formula>
    </cfRule>
  </conditionalFormatting>
  <conditionalFormatting sqref="A98:F117">
    <cfRule type="expression" dxfId="1172" priority="94">
      <formula>AND($E98 &gt; 0, ISNUMBER($E98))</formula>
    </cfRule>
    <cfRule type="expression" dxfId="1171" priority="95">
      <formula>AND($E98 = 0 * ISNUMBER($E98))</formula>
    </cfRule>
    <cfRule type="expression" dxfId="1170" priority="96">
      <formula>AND($E98 &lt; 0, ISNUMBER($E98))</formula>
    </cfRule>
  </conditionalFormatting>
  <conditionalFormatting sqref="A98:C117 G98:I117">
    <cfRule type="expression" dxfId="1169" priority="91">
      <formula>AND($H98 &gt; 0, ISNUMBER($H98))</formula>
    </cfRule>
    <cfRule type="expression" dxfId="1168" priority="92">
      <formula>AND($H98 = 0 * ISNUMBER($H98))</formula>
    </cfRule>
    <cfRule type="expression" dxfId="1167" priority="93">
      <formula>AND($H98 &lt; 0, ISNUMBER($H98))</formula>
    </cfRule>
  </conditionalFormatting>
  <conditionalFormatting sqref="A98:C117 J98:L117">
    <cfRule type="expression" dxfId="1166" priority="88">
      <formula>AND($K98 &gt; 0, ISNUMBER($K98))</formula>
    </cfRule>
    <cfRule type="expression" dxfId="1165" priority="89">
      <formula>AND($K98 = 0 * ISNUMBER($K98))</formula>
    </cfRule>
    <cfRule type="expression" dxfId="1164" priority="90">
      <formula>AND($K98 &lt; 0, ISNUMBER($K98))</formula>
    </cfRule>
  </conditionalFormatting>
  <conditionalFormatting sqref="D96:F97 E118:F118">
    <cfRule type="expression" dxfId="1163" priority="82">
      <formula>$E$118 &gt; 0</formula>
    </cfRule>
    <cfRule type="expression" dxfId="1162" priority="83">
      <formula>$E$118 = 0</formula>
    </cfRule>
    <cfRule type="expression" dxfId="1161" priority="84">
      <formula>$E$118 &lt; 0</formula>
    </cfRule>
  </conditionalFormatting>
  <conditionalFormatting sqref="G96:I97 H118:I118">
    <cfRule type="expression" dxfId="1160" priority="79">
      <formula>$H$118 &gt; 0</formula>
    </cfRule>
    <cfRule type="expression" dxfId="1159" priority="80">
      <formula>$H$118 = 0</formula>
    </cfRule>
    <cfRule type="expression" dxfId="1158" priority="81">
      <formula>$H$118 &lt; 0</formula>
    </cfRule>
  </conditionalFormatting>
  <conditionalFormatting sqref="J96:L97 K118:L118">
    <cfRule type="expression" dxfId="1157" priority="76">
      <formula>$K$118 &gt; 0</formula>
    </cfRule>
    <cfRule type="expression" dxfId="1156" priority="77">
      <formula>$K$118 = 0</formula>
    </cfRule>
    <cfRule type="expression" dxfId="1155" priority="78">
      <formula>$K$118 &lt; 0</formula>
    </cfRule>
  </conditionalFormatting>
  <conditionalFormatting sqref="M96:O97 N118:O118">
    <cfRule type="expression" dxfId="1154" priority="73">
      <formula>$N$118 &gt; 0</formula>
    </cfRule>
    <cfRule type="expression" dxfId="1153" priority="74">
      <formula>$N$118 = 0</formula>
    </cfRule>
    <cfRule type="expression" dxfId="1152" priority="75">
      <formula>$N$118 &lt; 0</formula>
    </cfRule>
  </conditionalFormatting>
  <conditionalFormatting sqref="A125:C144 M125:O144">
    <cfRule type="expression" dxfId="1151" priority="61">
      <formula>AND($N125 &gt; 0, ISNUMBER($N125))</formula>
    </cfRule>
    <cfRule type="expression" dxfId="1150" priority="62">
      <formula>AND($N125 = 0 * ISNUMBER($N125))</formula>
    </cfRule>
    <cfRule type="expression" dxfId="1149" priority="63">
      <formula>AND($N125 &lt; 0, ISNUMBER($N125))</formula>
    </cfRule>
  </conditionalFormatting>
  <conditionalFormatting sqref="A125:F144">
    <cfRule type="expression" dxfId="1148" priority="70">
      <formula>AND($E125 &gt; 0, ISNUMBER($E125))</formula>
    </cfRule>
    <cfRule type="expression" dxfId="1147" priority="71">
      <formula>AND($E125 = 0 * ISNUMBER($E125))</formula>
    </cfRule>
    <cfRule type="expression" dxfId="1146" priority="72">
      <formula>AND($E125 &lt; 0, ISNUMBER($E125))</formula>
    </cfRule>
  </conditionalFormatting>
  <conditionalFormatting sqref="A125:C144 G125:I144">
    <cfRule type="expression" dxfId="1145" priority="67">
      <formula>AND($H125 &gt; 0, ISNUMBER($H125))</formula>
    </cfRule>
    <cfRule type="expression" dxfId="1144" priority="68">
      <formula>AND($H125 = 0 * ISNUMBER($H125))</formula>
    </cfRule>
    <cfRule type="expression" dxfId="1143" priority="69">
      <formula>AND($H125 &lt; 0, ISNUMBER($H125))</formula>
    </cfRule>
  </conditionalFormatting>
  <conditionalFormatting sqref="A125:C144 J125:L144">
    <cfRule type="expression" dxfId="1142" priority="64">
      <formula>AND($K125 &gt; 0, ISNUMBER($K125))</formula>
    </cfRule>
    <cfRule type="expression" dxfId="1141" priority="65">
      <formula>AND($K125 = 0 * ISNUMBER($K125))</formula>
    </cfRule>
    <cfRule type="expression" dxfId="1140" priority="66">
      <formula>AND($K125 &lt; 0, ISNUMBER($K125))</formula>
    </cfRule>
  </conditionalFormatting>
  <conditionalFormatting sqref="D123:F124 E145:F145">
    <cfRule type="expression" dxfId="1139" priority="58">
      <formula>$E$145 &gt; 0</formula>
    </cfRule>
    <cfRule type="expression" dxfId="1138" priority="59">
      <formula>$E$145 = 0</formula>
    </cfRule>
    <cfRule type="expression" dxfId="1137" priority="60">
      <formula>$E$145 &lt; 0</formula>
    </cfRule>
  </conditionalFormatting>
  <conditionalFormatting sqref="G123:I124 H145:I145">
    <cfRule type="expression" dxfId="1136" priority="55">
      <formula>$H$145 &gt; 0</formula>
    </cfRule>
    <cfRule type="expression" dxfId="1135" priority="56">
      <formula>$H$145 = 0</formula>
    </cfRule>
    <cfRule type="expression" dxfId="1134" priority="57">
      <formula>$H$145 &lt; 0</formula>
    </cfRule>
  </conditionalFormatting>
  <conditionalFormatting sqref="J123:L124 K145:L145">
    <cfRule type="expression" dxfId="1133" priority="52">
      <formula>$K$145 &gt; 0</formula>
    </cfRule>
    <cfRule type="expression" dxfId="1132" priority="53">
      <formula>$K$145 = 0</formula>
    </cfRule>
    <cfRule type="expression" dxfId="1131" priority="54">
      <formula>$K$145 &lt; 0</formula>
    </cfRule>
  </conditionalFormatting>
  <conditionalFormatting sqref="M123:O124 N145:O145">
    <cfRule type="expression" dxfId="1130" priority="49">
      <formula>$N$145 &gt; 0</formula>
    </cfRule>
    <cfRule type="expression" dxfId="1129" priority="50">
      <formula>$N$145 = 0</formula>
    </cfRule>
    <cfRule type="expression" dxfId="1128" priority="51">
      <formula>$N$145 &lt; 0</formula>
    </cfRule>
  </conditionalFormatting>
  <conditionalFormatting sqref="A152:C171 M152:O171">
    <cfRule type="expression" dxfId="1127" priority="37">
      <formula>AND($N152 &gt; 0, ISNUMBER($N152))</formula>
    </cfRule>
    <cfRule type="expression" dxfId="1126" priority="38">
      <formula>AND($N152 = 0 * ISNUMBER($N152))</formula>
    </cfRule>
    <cfRule type="expression" dxfId="1125" priority="39">
      <formula>AND($N152 &lt; 0, ISNUMBER($N152))</formula>
    </cfRule>
  </conditionalFormatting>
  <conditionalFormatting sqref="A152:F171">
    <cfRule type="expression" dxfId="1124" priority="46">
      <formula>AND($E152 &gt; 0, ISNUMBER($E152))</formula>
    </cfRule>
    <cfRule type="expression" dxfId="1123" priority="47">
      <formula>AND($E152 = 0 * ISNUMBER($E152))</formula>
    </cfRule>
    <cfRule type="expression" dxfId="1122" priority="48">
      <formula>AND($E152 &lt; 0, ISNUMBER($E152))</formula>
    </cfRule>
  </conditionalFormatting>
  <conditionalFormatting sqref="A152:C171 G152:I171">
    <cfRule type="expression" dxfId="1121" priority="43">
      <formula>AND($H152 &gt; 0, ISNUMBER($H152))</formula>
    </cfRule>
    <cfRule type="expression" dxfId="1120" priority="44">
      <formula>AND($H152 = 0 * ISNUMBER($H152))</formula>
    </cfRule>
    <cfRule type="expression" dxfId="1119" priority="45">
      <formula>AND($H152 &lt; 0, ISNUMBER($H152))</formula>
    </cfRule>
  </conditionalFormatting>
  <conditionalFormatting sqref="A152:C171 J152:L171">
    <cfRule type="expression" dxfId="1118" priority="40">
      <formula>AND($K152 &gt; 0, ISNUMBER($K152))</formula>
    </cfRule>
    <cfRule type="expression" dxfId="1117" priority="41">
      <formula>AND($K152 = 0 * ISNUMBER($K152))</formula>
    </cfRule>
    <cfRule type="expression" dxfId="1116" priority="42">
      <formula>AND($K152 &lt; 0, ISNUMBER($K152))</formula>
    </cfRule>
  </conditionalFormatting>
  <conditionalFormatting sqref="D150:F151 E172:F172">
    <cfRule type="expression" dxfId="1115" priority="34">
      <formula>$E$172 &gt; 0</formula>
    </cfRule>
    <cfRule type="expression" dxfId="1114" priority="35">
      <formula>$E$172 = 0</formula>
    </cfRule>
    <cfRule type="expression" dxfId="1113" priority="36">
      <formula>$E$172 &lt; 0</formula>
    </cfRule>
  </conditionalFormatting>
  <conditionalFormatting sqref="G150:I151 H172:I172">
    <cfRule type="expression" dxfId="1112" priority="31">
      <formula>$H$172 &gt; 0</formula>
    </cfRule>
    <cfRule type="expression" dxfId="1111" priority="32">
      <formula>$H$172 = 0</formula>
    </cfRule>
    <cfRule type="expression" dxfId="1110" priority="33">
      <formula>$H$172 &lt; 0</formula>
    </cfRule>
  </conditionalFormatting>
  <conditionalFormatting sqref="J150:L151 K172:L172">
    <cfRule type="expression" dxfId="1109" priority="28">
      <formula>$K$172 &gt; 0</formula>
    </cfRule>
    <cfRule type="expression" dxfId="1108" priority="29">
      <formula>$K$172 = 0</formula>
    </cfRule>
    <cfRule type="expression" dxfId="1107" priority="30">
      <formula>$K$172 &lt; 0</formula>
    </cfRule>
  </conditionalFormatting>
  <conditionalFormatting sqref="M150:O151 N172:O172">
    <cfRule type="expression" dxfId="1106" priority="25">
      <formula>$N$172 &gt; 0</formula>
    </cfRule>
    <cfRule type="expression" dxfId="1105" priority="26">
      <formula>$N$172 = 0</formula>
    </cfRule>
    <cfRule type="expression" dxfId="1104" priority="27">
      <formula>$N$172 &lt; 0</formula>
    </cfRule>
  </conditionalFormatting>
  <conditionalFormatting sqref="A179:C198 M179:O198">
    <cfRule type="expression" dxfId="1103" priority="13">
      <formula>AND($N179 &gt; 0, ISNUMBER($N179))</formula>
    </cfRule>
    <cfRule type="expression" dxfId="1102" priority="14">
      <formula>AND($N179 = 0 * ISNUMBER($N179))</formula>
    </cfRule>
    <cfRule type="expression" dxfId="1101" priority="15">
      <formula>AND($N179 &lt; 0, ISNUMBER($N179))</formula>
    </cfRule>
  </conditionalFormatting>
  <conditionalFormatting sqref="A179:F198">
    <cfRule type="expression" dxfId="1100" priority="22">
      <formula>AND($E179 &gt; 0, ISNUMBER($E179))</formula>
    </cfRule>
    <cfRule type="expression" dxfId="1099" priority="23">
      <formula>AND($E179 = 0 * ISNUMBER($E179))</formula>
    </cfRule>
    <cfRule type="expression" dxfId="1098" priority="24">
      <formula>AND($E179 &lt; 0, ISNUMBER($E179))</formula>
    </cfRule>
  </conditionalFormatting>
  <conditionalFormatting sqref="A179:C198 G179:I198">
    <cfRule type="expression" dxfId="1097" priority="19">
      <formula>AND($H179 &gt; 0, ISNUMBER($H179))</formula>
    </cfRule>
    <cfRule type="expression" dxfId="1096" priority="20">
      <formula>AND($H179 = 0 * ISNUMBER($H179))</formula>
    </cfRule>
    <cfRule type="expression" dxfId="1095" priority="21">
      <formula>AND($H179 &lt; 0, ISNUMBER($H179))</formula>
    </cfRule>
  </conditionalFormatting>
  <conditionalFormatting sqref="A179:C198 J179:L198">
    <cfRule type="expression" dxfId="1094" priority="16">
      <formula>AND($K179 &gt; 0, ISNUMBER($K179))</formula>
    </cfRule>
    <cfRule type="expression" dxfId="1093" priority="17">
      <formula>AND($K179 = 0 * ISNUMBER($K179))</formula>
    </cfRule>
    <cfRule type="expression" dxfId="1092" priority="18">
      <formula>AND($K179 &lt; 0, ISNUMBER($K179))</formula>
    </cfRule>
  </conditionalFormatting>
  <conditionalFormatting sqref="D177:F178 E199:F199">
    <cfRule type="expression" dxfId="1091" priority="10">
      <formula>$E$199 &gt; 0</formula>
    </cfRule>
    <cfRule type="expression" dxfId="1090" priority="11">
      <formula>$E$199 = 0</formula>
    </cfRule>
    <cfRule type="expression" dxfId="1089" priority="12">
      <formula>$E$199 &lt; 0</formula>
    </cfRule>
  </conditionalFormatting>
  <conditionalFormatting sqref="G177:I178 H199:I199">
    <cfRule type="expression" dxfId="1088" priority="7">
      <formula>$H$199 &gt; 0</formula>
    </cfRule>
    <cfRule type="expression" dxfId="1087" priority="8">
      <formula>$H$199 = 0</formula>
    </cfRule>
    <cfRule type="expression" dxfId="1086" priority="9">
      <formula>$H$199 &lt; 0</formula>
    </cfRule>
  </conditionalFormatting>
  <conditionalFormatting sqref="J177:L178 K199:L199">
    <cfRule type="expression" dxfId="1085" priority="4">
      <formula>$K$199 &gt; 0</formula>
    </cfRule>
    <cfRule type="expression" dxfId="1084" priority="5">
      <formula>$K$199 = 0</formula>
    </cfRule>
    <cfRule type="expression" dxfId="1083" priority="6">
      <formula>$K$199 &lt; 0</formula>
    </cfRule>
  </conditionalFormatting>
  <conditionalFormatting sqref="M177:O178 N199:O199">
    <cfRule type="expression" dxfId="1082" priority="1">
      <formula>$N$199 &gt; 0</formula>
    </cfRule>
    <cfRule type="expression" dxfId="1081" priority="2">
      <formula>$N$199 = 0</formula>
    </cfRule>
    <cfRule type="expression" dxfId="10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2848E-A286-43DD-B771-5DDCDAF0CAE2}">
  <sheetPr codeName="Sheet1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9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9" t="s">
        <v>0</v>
      </c>
      <c r="B1" s="250"/>
      <c r="C1" s="250"/>
      <c r="D1" s="250"/>
      <c r="E1" s="250"/>
      <c r="F1" s="251"/>
      <c r="G1" s="252">
        <v>44327</v>
      </c>
      <c r="H1" s="253"/>
      <c r="I1" s="254"/>
      <c r="J1" s="249" t="s">
        <v>1</v>
      </c>
      <c r="K1" s="250"/>
      <c r="L1" s="250"/>
      <c r="M1" s="250"/>
      <c r="N1" s="250"/>
      <c r="O1" s="251"/>
      <c r="Q1" s="249" t="s">
        <v>2</v>
      </c>
      <c r="R1" s="251"/>
    </row>
    <row r="2" spans="1:19" ht="17.25" customHeight="1">
      <c r="A2" s="116" t="s">
        <v>3</v>
      </c>
      <c r="B2" s="255" t="s">
        <v>8</v>
      </c>
      <c r="C2" s="256"/>
      <c r="D2" s="256"/>
      <c r="E2" s="256"/>
      <c r="F2" s="257"/>
      <c r="G2" s="258" t="s">
        <v>46</v>
      </c>
      <c r="H2" s="259"/>
      <c r="I2" s="260"/>
      <c r="J2" s="1" t="s">
        <v>3</v>
      </c>
      <c r="K2" s="255" t="s">
        <v>376</v>
      </c>
      <c r="L2" s="256"/>
      <c r="M2" s="256"/>
      <c r="N2" s="256"/>
      <c r="O2" s="257"/>
      <c r="Q2" s="2" t="s">
        <v>6</v>
      </c>
      <c r="R2" s="3">
        <v>0.375</v>
      </c>
    </row>
    <row r="3" spans="1:19" ht="17.25" customHeight="1" thickBot="1">
      <c r="A3" s="117" t="s">
        <v>7</v>
      </c>
      <c r="B3" s="261" t="s">
        <v>384</v>
      </c>
      <c r="C3" s="262"/>
      <c r="D3" s="262"/>
      <c r="E3" s="262"/>
      <c r="F3" s="263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-202,884 KRW (-6.76%)</v>
      </c>
      <c r="H3" s="265"/>
      <c r="I3" s="266"/>
      <c r="J3" s="4" t="s">
        <v>7</v>
      </c>
      <c r="K3" s="261" t="s">
        <v>377</v>
      </c>
      <c r="L3" s="262"/>
      <c r="M3" s="262"/>
      <c r="N3" s="262"/>
      <c r="O3" s="263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61" t="s">
        <v>16</v>
      </c>
      <c r="C4" s="262"/>
      <c r="D4" s="262"/>
      <c r="E4" s="262"/>
      <c r="F4" s="263"/>
      <c r="G4" s="258" t="s">
        <v>44</v>
      </c>
      <c r="H4" s="259"/>
      <c r="I4" s="260"/>
      <c r="J4" s="4" t="s">
        <v>11</v>
      </c>
      <c r="K4" s="261" t="s">
        <v>378</v>
      </c>
      <c r="L4" s="262"/>
      <c r="M4" s="262"/>
      <c r="N4" s="262"/>
      <c r="O4" s="263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61" t="s">
        <v>374</v>
      </c>
      <c r="C5" s="262"/>
      <c r="D5" s="262"/>
      <c r="E5" s="262"/>
      <c r="F5" s="263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96,726 KRW (3.39%)</v>
      </c>
      <c r="H5" s="265"/>
      <c r="I5" s="266"/>
      <c r="J5" s="4" t="s">
        <v>15</v>
      </c>
      <c r="K5" s="261" t="s">
        <v>379</v>
      </c>
      <c r="L5" s="262"/>
      <c r="M5" s="262"/>
      <c r="N5" s="262"/>
      <c r="O5" s="263"/>
    </row>
    <row r="6" spans="1:19">
      <c r="A6" s="117" t="s">
        <v>18</v>
      </c>
      <c r="B6" s="261"/>
      <c r="C6" s="262"/>
      <c r="D6" s="262"/>
      <c r="E6" s="262"/>
      <c r="F6" s="263"/>
      <c r="G6" s="258" t="s">
        <v>45</v>
      </c>
      <c r="H6" s="259"/>
      <c r="I6" s="260"/>
      <c r="J6" s="4" t="s">
        <v>18</v>
      </c>
      <c r="K6" s="261" t="s">
        <v>380</v>
      </c>
      <c r="L6" s="262"/>
      <c r="M6" s="262"/>
      <c r="N6" s="262"/>
      <c r="O6" s="263"/>
    </row>
    <row r="7" spans="1:19" ht="17.25" thickBot="1">
      <c r="A7" s="117" t="s">
        <v>21</v>
      </c>
      <c r="B7" s="261"/>
      <c r="C7" s="262"/>
      <c r="D7" s="262"/>
      <c r="E7" s="262"/>
      <c r="F7" s="263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-133,304 KRW (-4.44%)</v>
      </c>
      <c r="H7" s="265"/>
      <c r="I7" s="266"/>
      <c r="J7" s="4" t="s">
        <v>21</v>
      </c>
      <c r="K7" s="261" t="s">
        <v>381</v>
      </c>
      <c r="L7" s="262"/>
      <c r="M7" s="262"/>
      <c r="N7" s="262"/>
      <c r="O7" s="263"/>
    </row>
    <row r="8" spans="1:19" ht="17.25" thickBot="1">
      <c r="A8" s="117" t="s">
        <v>24</v>
      </c>
      <c r="B8" s="261"/>
      <c r="C8" s="262"/>
      <c r="D8" s="262"/>
      <c r="E8" s="262"/>
      <c r="F8" s="263"/>
      <c r="G8" s="258" t="s">
        <v>285</v>
      </c>
      <c r="H8" s="259"/>
      <c r="I8" s="260"/>
      <c r="J8" s="4" t="s">
        <v>24</v>
      </c>
      <c r="K8" s="261"/>
      <c r="L8" s="262"/>
      <c r="M8" s="262"/>
      <c r="N8" s="262"/>
      <c r="O8" s="263"/>
      <c r="Q8" s="249" t="s">
        <v>27</v>
      </c>
      <c r="R8" s="251"/>
    </row>
    <row r="9" spans="1:19" ht="17.25" thickBot="1">
      <c r="A9" s="117" t="s">
        <v>28</v>
      </c>
      <c r="B9" s="261"/>
      <c r="C9" s="262"/>
      <c r="D9" s="262"/>
      <c r="E9" s="262"/>
      <c r="F9" s="263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-150,537 KRW (-5.02%)</v>
      </c>
      <c r="H9" s="265"/>
      <c r="I9" s="266"/>
      <c r="J9" s="4" t="s">
        <v>28</v>
      </c>
      <c r="K9" s="261"/>
      <c r="L9" s="262"/>
      <c r="M9" s="262"/>
      <c r="N9" s="262"/>
      <c r="O9" s="263"/>
      <c r="Q9" s="2" t="s">
        <v>29</v>
      </c>
      <c r="R9" s="6">
        <v>10</v>
      </c>
    </row>
    <row r="10" spans="1:19">
      <c r="A10" s="117" t="s">
        <v>30</v>
      </c>
      <c r="B10" s="261"/>
      <c r="C10" s="262"/>
      <c r="D10" s="262"/>
      <c r="E10" s="262"/>
      <c r="F10" s="263"/>
      <c r="G10" s="258" t="s">
        <v>47</v>
      </c>
      <c r="H10" s="259"/>
      <c r="I10" s="260"/>
      <c r="J10" s="4" t="s">
        <v>30</v>
      </c>
      <c r="K10" s="261" t="s">
        <v>382</v>
      </c>
      <c r="L10" s="262"/>
      <c r="M10" s="262"/>
      <c r="N10" s="262"/>
      <c r="O10" s="263"/>
      <c r="Q10" s="2" t="s">
        <v>31</v>
      </c>
      <c r="R10" s="6">
        <v>100</v>
      </c>
    </row>
    <row r="11" spans="1:19" ht="17.25" thickBot="1">
      <c r="A11" s="118" t="s">
        <v>32</v>
      </c>
      <c r="B11" s="267" t="s">
        <v>383</v>
      </c>
      <c r="C11" s="268"/>
      <c r="D11" s="268"/>
      <c r="E11" s="268"/>
      <c r="F11" s="269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-91,451 KRW (-3.05%)</v>
      </c>
      <c r="H11" s="265"/>
      <c r="I11" s="266"/>
      <c r="J11" s="7" t="s">
        <v>32</v>
      </c>
      <c r="K11" s="267" t="s">
        <v>373</v>
      </c>
      <c r="L11" s="268"/>
      <c r="M11" s="268"/>
      <c r="N11" s="268"/>
      <c r="O11" s="269"/>
      <c r="Q11" s="61" t="s">
        <v>33</v>
      </c>
      <c r="R11" s="8">
        <v>1000</v>
      </c>
    </row>
    <row r="12" spans="1:19" ht="17.25" thickBot="1"/>
    <row r="13" spans="1:19" ht="17.25" customHeight="1" thickBot="1">
      <c r="A13" s="249" t="s">
        <v>34</v>
      </c>
      <c r="B13" s="250"/>
      <c r="C13" s="250"/>
      <c r="D13" s="250"/>
      <c r="E13" s="250"/>
      <c r="F13" s="250"/>
      <c r="G13" s="250"/>
      <c r="H13" s="250"/>
      <c r="I13" s="250"/>
      <c r="J13" s="250"/>
      <c r="K13" s="250"/>
      <c r="L13" s="250"/>
      <c r="M13" s="250"/>
      <c r="N13" s="250"/>
      <c r="O13" s="251"/>
      <c r="Q13" s="270"/>
      <c r="R13" s="270"/>
      <c r="S13" s="270"/>
    </row>
    <row r="14" spans="1:19" ht="17.25" customHeight="1" thickBot="1">
      <c r="A14" s="186" t="s">
        <v>35</v>
      </c>
      <c r="B14" s="249" t="s">
        <v>36</v>
      </c>
      <c r="C14" s="251"/>
      <c r="D14" s="249" t="s">
        <v>37</v>
      </c>
      <c r="E14" s="250"/>
      <c r="F14" s="251"/>
      <c r="G14" s="276">
        <f>_xlfn.IFNA(VLOOKUP(B14, 현재가테이블!$B$2:$D$200, 2, FALSE), "-")</f>
        <v>60874000</v>
      </c>
      <c r="H14" s="277"/>
      <c r="I14" s="278"/>
      <c r="J14" s="249" t="s">
        <v>38</v>
      </c>
      <c r="K14" s="250"/>
      <c r="L14" s="251"/>
      <c r="M14" s="279">
        <f>_xlfn.IFNA(VLOOKUP(B14, 현재가테이블!$B$2:$D$200, 3, FALSE), "-")</f>
        <v>-1.4936000099999999E-2</v>
      </c>
      <c r="N14" s="280"/>
      <c r="O14" s="281"/>
      <c r="Q14" s="270"/>
      <c r="R14" s="270"/>
      <c r="S14" s="270"/>
    </row>
    <row r="15" spans="1:19" ht="17.25" customHeight="1" thickBot="1">
      <c r="A15" s="314" t="s">
        <v>39</v>
      </c>
      <c r="B15" s="315" t="str">
        <f>TEXT($G$1, "[$-ko-KR]yyyy-mm-dd(ddd) ") &amp; "오전 00:00"</f>
        <v>2021-05-11(화) 오전 00:00</v>
      </c>
      <c r="C15" s="316"/>
      <c r="D15" s="272" t="str">
        <f>TEXT($G$1, "[$-ko-KR]yyyy-mm-dd(ddd) ") &amp; "오후 14:00"</f>
        <v>2021-05-11(화) 오후 14:00</v>
      </c>
      <c r="E15" s="273"/>
      <c r="F15" s="274"/>
      <c r="G15" s="272" t="str">
        <f>TEXT($G$1, "[$-ko-KR]yyyy-mm-dd(ddd) ") &amp; "오후 19:00"</f>
        <v>2021-05-11(화) 오후 19:00</v>
      </c>
      <c r="H15" s="273"/>
      <c r="I15" s="274"/>
      <c r="J15" s="272" t="str">
        <f>TEXT($G$1, "[$-ko-KR]yyyy-mm-dd(ddd) ") &amp; "오후 21:00"</f>
        <v>2021-05-11(화) 오후 21:00</v>
      </c>
      <c r="K15" s="273"/>
      <c r="L15" s="274"/>
      <c r="M15" s="272" t="str">
        <f>TEXT($G$1+1, "[$-ko-KR]yyyy-mm-dd(ddd) ") &amp; "오전 00:00"</f>
        <v>2021-05-12(수) 오전 00:00</v>
      </c>
      <c r="N15" s="273"/>
      <c r="O15" s="274"/>
      <c r="Q15" s="270"/>
      <c r="R15" s="270"/>
      <c r="S15" s="270"/>
    </row>
    <row r="16" spans="1:19" ht="17.25" customHeight="1" thickBot="1">
      <c r="A16" s="314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92" t="s">
        <v>37</v>
      </c>
      <c r="H16" s="193" t="s">
        <v>40</v>
      </c>
      <c r="I16" s="19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75"/>
      <c r="R16" s="275"/>
      <c r="S16" s="275"/>
    </row>
    <row r="17" spans="1:19" ht="17.25" customHeight="1" thickBot="1">
      <c r="A17" s="122" t="s">
        <v>200</v>
      </c>
      <c r="B17" s="123">
        <f>IF(NOT(ISBLANK(_xlfn.IFNA(VLOOKUP($A17, $A$40:$O$199, 2, FALSE), ))), _xlfn.IFNA(VLOOKUP($A17, $A$40:$O$199, 2, FALSE), ), "")</f>
        <v>341</v>
      </c>
      <c r="C17" s="72">
        <f>IF(NOT(ISBLANK(_xlfn.IFNA(VLOOKUP($A17, $A$40:$O$199, 3, FALSE), ))), _xlfn.IFNA(VLOOKUP($A17, $A$40:$O$199, 3, FALSE), ), "")</f>
        <v>-2.84900285E-2</v>
      </c>
      <c r="D17" s="13">
        <f>IF(NOT(ISBLANK(_xlfn.IFNA(VLOOKUP($A17, $A$40:$O$199, 4, FALSE), ))), _xlfn.IFNA(VLOOKUP($A17, $A$40:$O$199, 4, FALSE), ), "")</f>
        <v>323</v>
      </c>
      <c r="E17" s="14">
        <f>IF(NOT(ISBLANK(_xlfn.IFNA(VLOOKUP($A17, $A$40:$O$199, 5, FALSE), ))), _xlfn.IFNA(VLOOKUP($A17, $A$40:$O$199, 5, FALSE), ), "")</f>
        <v>-5.2785923753665691E-2</v>
      </c>
      <c r="F17" s="16">
        <f>IF(NOT(ISBLANK(_xlfn.IFNA(VLOOKUP($A17, $A$40:$O$199, 6, FALSE), ))), _xlfn.IFNA(VLOOKUP($A17, $A$40:$O$199, 6, FALSE), ), "")</f>
        <v>-7917.8885630498535</v>
      </c>
      <c r="G17" s="29">
        <f>IF(NOT(ISBLANK(_xlfn.IFNA(VLOOKUP($A17, $A$40:$O$199, 7, FALSE), ))), _xlfn.IFNA(VLOOKUP($A17, $A$40:$O$199, 7, FALSE), ), "")</f>
        <v>332</v>
      </c>
      <c r="H17" s="14">
        <f>IF(NOT(ISBLANK(_xlfn.IFNA(VLOOKUP($A17, $A$40:$O$199, 8, FALSE), ))), _xlfn.IFNA(VLOOKUP($A17, $A$40:$O$199, 8, FALSE), ), "")</f>
        <v>-2.6392961876832845E-2</v>
      </c>
      <c r="I17" s="96">
        <f>IF(NOT(ISBLANK(_xlfn.IFNA(VLOOKUP($A17, $A$40:$O$199, 9, FALSE), ))), _xlfn.IFNA(VLOOKUP($A17, $A$40:$O$199, 9, FALSE), ), "")</f>
        <v>-3958.9442815249267</v>
      </c>
      <c r="J17" s="13">
        <f>IF(NOT(ISBLANK(_xlfn.IFNA(VLOOKUP($A17, $A$40:$O$199, 10, FALSE), ))), _xlfn.IFNA(VLOOKUP($A17, $A$40:$O$199, 10, FALSE), ), "")</f>
        <v>340</v>
      </c>
      <c r="K17" s="14">
        <f>IF(NOT(ISBLANK(_xlfn.IFNA(VLOOKUP($A17, $A$40:$O$199, 11, FALSE), ))), _xlfn.IFNA(VLOOKUP($A17, $A$40:$O$199, 11, FALSE), ), "")</f>
        <v>-2.9325513196480938E-3</v>
      </c>
      <c r="L17" s="16">
        <f>IF(NOT(ISBLANK(_xlfn.IFNA(VLOOKUP($A17, $A$40:$O$199, 12, FALSE), ))), _xlfn.IFNA(VLOOKUP($A17, $A$40:$O$199, 12, FALSE), ), "")</f>
        <v>-439.88269794721407</v>
      </c>
      <c r="M17" s="29">
        <f>IF(NOT(ISBLANK(_xlfn.IFNA(VLOOKUP($A17, $A$40:$O$199, 13, FALSE), ))), _xlfn.IFNA(VLOOKUP($A17, $A$40:$O$199, 13, FALSE), ), "")</f>
        <v>334</v>
      </c>
      <c r="N17" s="14">
        <f>IF(NOT(ISBLANK(_xlfn.IFNA(VLOOKUP($A17, $A$40:$O$199, 14, FALSE), ))), _xlfn.IFNA(VLOOKUP($A17, $A$40:$O$199, 14, FALSE), ), "")</f>
        <v>-2.0527859237536656E-2</v>
      </c>
      <c r="O17" s="16">
        <f>IF(NOT(ISBLANK(_xlfn.IFNA(VLOOKUP($A17, $A$40:$O$199, 15, FALSE), ))), _xlfn.IFNA(VLOOKUP($A17, $A$40:$O$199, 15, FALSE), ), "")</f>
        <v>-3079.1788856304984</v>
      </c>
      <c r="Q17" s="270"/>
      <c r="R17" s="270"/>
      <c r="S17" s="270"/>
    </row>
    <row r="18" spans="1:19" ht="17.25" customHeight="1" thickBot="1">
      <c r="A18" s="124" t="s">
        <v>250</v>
      </c>
      <c r="B18" s="125">
        <f t="shared" ref="B18:B36" si="0">IF(NOT(ISBLANK(_xlfn.IFNA(VLOOKUP($A18, $A$40:$O$199, 2, FALSE), ))), _xlfn.IFNA(VLOOKUP($A18, $A$40:$O$199, 2, FALSE), ), "")</f>
        <v>199</v>
      </c>
      <c r="C18" s="73">
        <f t="shared" ref="C18:C36" si="1">IF(NOT(ISBLANK(_xlfn.IFNA(VLOOKUP($A18, $A$40:$O$199, 3, FALSE), ))), _xlfn.IFNA(VLOOKUP($A18, $A$40:$O$199, 3, FALSE), ), "")</f>
        <v>-2.92682927E-2</v>
      </c>
      <c r="D18" s="15">
        <f t="shared" ref="D18:D36" si="2">IF(NOT(ISBLANK(_xlfn.IFNA(VLOOKUP($A18, $A$40:$O$199, 4, FALSE), ))), _xlfn.IFNA(VLOOKUP($A18, $A$40:$O$199, 4, FALSE), ), "")</f>
        <v>192</v>
      </c>
      <c r="E18" s="32">
        <f t="shared" ref="E18:E36" si="3">IF(NOT(ISBLANK(_xlfn.IFNA(VLOOKUP($A18, $A$40:$O$199, 5, FALSE), ))), _xlfn.IFNA(VLOOKUP($A18, $A$40:$O$199, 5, FALSE), ), "")</f>
        <v>-3.5175879396984924E-2</v>
      </c>
      <c r="F18" s="18">
        <f t="shared" ref="F18:F36" si="4">IF(NOT(ISBLANK(_xlfn.IFNA(VLOOKUP($A18, $A$40:$O$199, 6, FALSE), ))), _xlfn.IFNA(VLOOKUP($A18, $A$40:$O$199, 6, FALSE), ), "")</f>
        <v>-5276.3819095477384</v>
      </c>
      <c r="G18" s="31">
        <f t="shared" ref="G18:G36" si="5">IF(NOT(ISBLANK(_xlfn.IFNA(VLOOKUP($A18, $A$40:$O$199, 7, FALSE), ))), _xlfn.IFNA(VLOOKUP($A18, $A$40:$O$199, 7, FALSE), ), "")</f>
        <v>196</v>
      </c>
      <c r="H18" s="32">
        <f t="shared" ref="H18:H36" si="6">IF(NOT(ISBLANK(_xlfn.IFNA(VLOOKUP($A18, $A$40:$O$199, 8, FALSE), ))), _xlfn.IFNA(VLOOKUP($A18, $A$40:$O$199, 8, FALSE), ), "")</f>
        <v>-1.507537688442211E-2</v>
      </c>
      <c r="I18" s="97">
        <f t="shared" ref="I18:I36" si="7">IF(NOT(ISBLANK(_xlfn.IFNA(VLOOKUP($A18, $A$40:$O$199, 9, FALSE), ))), _xlfn.IFNA(VLOOKUP($A18, $A$40:$O$199, 9, FALSE), ), "")</f>
        <v>-2261.3065326633164</v>
      </c>
      <c r="J18" s="15">
        <f t="shared" ref="J18:J36" si="8">IF(NOT(ISBLANK(_xlfn.IFNA(VLOOKUP($A18, $A$40:$O$199, 10, FALSE), ))), _xlfn.IFNA(VLOOKUP($A18, $A$40:$O$199, 10, FALSE), ), "")</f>
        <v>202</v>
      </c>
      <c r="K18" s="32">
        <f t="shared" ref="K18:K36" si="9">IF(NOT(ISBLANK(_xlfn.IFNA(VLOOKUP($A18, $A$40:$O$199, 11, FALSE), ))), _xlfn.IFNA(VLOOKUP($A18, $A$40:$O$199, 11, FALSE), ), "")</f>
        <v>1.507537688442211E-2</v>
      </c>
      <c r="L18" s="18">
        <f t="shared" ref="L18:L36" si="10">IF(NOT(ISBLANK(_xlfn.IFNA(VLOOKUP($A18, $A$40:$O$199, 12, FALSE), ))), _xlfn.IFNA(VLOOKUP($A18, $A$40:$O$199, 12, FALSE), ), "")</f>
        <v>2261.3065326633164</v>
      </c>
      <c r="M18" s="31">
        <f t="shared" ref="M18:M36" si="11">IF(NOT(ISBLANK(_xlfn.IFNA(VLOOKUP($A18, $A$40:$O$199, 13, FALSE), ))), _xlfn.IFNA(VLOOKUP($A18, $A$40:$O$199, 13, FALSE), ), "")</f>
        <v>201</v>
      </c>
      <c r="N18" s="32">
        <f t="shared" ref="N18:N36" si="12">IF(NOT(ISBLANK(_xlfn.IFNA(VLOOKUP($A18, $A$40:$O$199, 14, FALSE), ))), _xlfn.IFNA(VLOOKUP($A18, $A$40:$O$199, 14, FALSE), ), "")</f>
        <v>1.0050251256281407E-2</v>
      </c>
      <c r="O18" s="18">
        <f t="shared" ref="O18:O36" si="13">IF(NOT(ISBLANK(_xlfn.IFNA(VLOOKUP($A18, $A$40:$O$199, 15, FALSE), ))), _xlfn.IFNA(VLOOKUP($A18, $A$40:$O$199, 15, FALSE), ), "")</f>
        <v>1507.537688442211</v>
      </c>
      <c r="Q18" s="270"/>
      <c r="R18" s="270"/>
      <c r="S18" s="270"/>
    </row>
    <row r="19" spans="1:19" ht="17.25" customHeight="1" thickBot="1">
      <c r="A19" s="124" t="s">
        <v>202</v>
      </c>
      <c r="B19" s="125">
        <f t="shared" si="0"/>
        <v>195</v>
      </c>
      <c r="C19" s="73">
        <f t="shared" si="1"/>
        <v>-2.9850746300000001E-2</v>
      </c>
      <c r="D19" s="15">
        <f t="shared" si="2"/>
        <v>183</v>
      </c>
      <c r="E19" s="32">
        <f t="shared" si="3"/>
        <v>-6.1538461538461542E-2</v>
      </c>
      <c r="F19" s="18">
        <f t="shared" si="4"/>
        <v>-9230.7692307692305</v>
      </c>
      <c r="G19" s="31">
        <f t="shared" si="5"/>
        <v>189</v>
      </c>
      <c r="H19" s="32">
        <f t="shared" si="6"/>
        <v>-3.0769230769230771E-2</v>
      </c>
      <c r="I19" s="97">
        <f t="shared" si="7"/>
        <v>-4615.3846153846152</v>
      </c>
      <c r="J19" s="15">
        <f t="shared" si="8"/>
        <v>194</v>
      </c>
      <c r="K19" s="32">
        <f t="shared" si="9"/>
        <v>-5.1282051282051282E-3</v>
      </c>
      <c r="L19" s="18">
        <f t="shared" si="10"/>
        <v>-769.23076923076928</v>
      </c>
      <c r="M19" s="31">
        <f t="shared" si="11"/>
        <v>189</v>
      </c>
      <c r="N19" s="32">
        <f t="shared" si="12"/>
        <v>-3.0769230769230771E-2</v>
      </c>
      <c r="O19" s="18">
        <f t="shared" si="13"/>
        <v>-4615.3846153846152</v>
      </c>
      <c r="Q19" s="275"/>
      <c r="R19" s="275"/>
      <c r="S19" s="275"/>
    </row>
    <row r="20" spans="1:19" ht="17.25" customHeight="1" thickBot="1">
      <c r="A20" s="124" t="s">
        <v>230</v>
      </c>
      <c r="B20" s="125">
        <f t="shared" si="0"/>
        <v>160</v>
      </c>
      <c r="C20" s="73">
        <f t="shared" si="1"/>
        <v>-3.0303030299999999E-2</v>
      </c>
      <c r="D20" s="15">
        <f t="shared" si="2"/>
        <v>155</v>
      </c>
      <c r="E20" s="32">
        <f t="shared" si="3"/>
        <v>-3.125E-2</v>
      </c>
      <c r="F20" s="18">
        <f t="shared" si="4"/>
        <v>-4687.5</v>
      </c>
      <c r="G20" s="31">
        <f t="shared" si="5"/>
        <v>159</v>
      </c>
      <c r="H20" s="32">
        <f t="shared" si="6"/>
        <v>-6.2500000000000003E-3</v>
      </c>
      <c r="I20" s="97">
        <f t="shared" si="7"/>
        <v>-937.5</v>
      </c>
      <c r="J20" s="15">
        <f t="shared" si="8"/>
        <v>162</v>
      </c>
      <c r="K20" s="32">
        <f t="shared" si="9"/>
        <v>1.2500000000000001E-2</v>
      </c>
      <c r="L20" s="18">
        <f t="shared" si="10"/>
        <v>1875</v>
      </c>
      <c r="M20" s="31">
        <f t="shared" si="11"/>
        <v>164</v>
      </c>
      <c r="N20" s="32">
        <f t="shared" si="12"/>
        <v>2.5000000000000001E-2</v>
      </c>
      <c r="O20" s="18">
        <f t="shared" si="13"/>
        <v>3750</v>
      </c>
      <c r="Q20" s="275"/>
      <c r="R20" s="275"/>
      <c r="S20" s="275"/>
    </row>
    <row r="21" spans="1:19" ht="17.25" customHeight="1" thickBot="1">
      <c r="A21" s="126" t="s">
        <v>252</v>
      </c>
      <c r="B21" s="127">
        <f t="shared" si="0"/>
        <v>537</v>
      </c>
      <c r="C21" s="74">
        <f t="shared" si="1"/>
        <v>-3.4172661899999998E-2</v>
      </c>
      <c r="D21" s="20">
        <f t="shared" si="2"/>
        <v>494</v>
      </c>
      <c r="E21" s="21">
        <f t="shared" si="3"/>
        <v>-8.0074487895716945E-2</v>
      </c>
      <c r="F21" s="22">
        <f t="shared" si="4"/>
        <v>-12011.173184357542</v>
      </c>
      <c r="G21" s="30">
        <f t="shared" si="5"/>
        <v>517</v>
      </c>
      <c r="H21" s="21">
        <f t="shared" si="6"/>
        <v>-3.7243947858473E-2</v>
      </c>
      <c r="I21" s="101">
        <f t="shared" si="7"/>
        <v>-5586.5921787709503</v>
      </c>
      <c r="J21" s="20">
        <f t="shared" si="8"/>
        <v>518</v>
      </c>
      <c r="K21" s="21">
        <f t="shared" si="9"/>
        <v>-3.5381750465549346E-2</v>
      </c>
      <c r="L21" s="22">
        <f t="shared" si="10"/>
        <v>-5307.2625698324018</v>
      </c>
      <c r="M21" s="30">
        <f t="shared" si="11"/>
        <v>517</v>
      </c>
      <c r="N21" s="21">
        <f t="shared" si="12"/>
        <v>-3.7243947858473E-2</v>
      </c>
      <c r="O21" s="22">
        <f t="shared" si="13"/>
        <v>-5586.5921787709503</v>
      </c>
      <c r="Q21" s="275"/>
      <c r="R21" s="275"/>
      <c r="S21" s="275"/>
    </row>
    <row r="22" spans="1:19" ht="17.25" customHeight="1" thickBot="1">
      <c r="A22" s="124" t="s">
        <v>112</v>
      </c>
      <c r="B22" s="128">
        <f t="shared" si="0"/>
        <v>253</v>
      </c>
      <c r="C22" s="76">
        <f t="shared" si="1"/>
        <v>-3.4351145E-2</v>
      </c>
      <c r="D22" s="102">
        <f t="shared" si="2"/>
        <v>241</v>
      </c>
      <c r="E22" s="103">
        <f t="shared" si="3"/>
        <v>-4.7430830039525688E-2</v>
      </c>
      <c r="F22" s="104">
        <f t="shared" si="4"/>
        <v>-7114.6245059288531</v>
      </c>
      <c r="G22" s="105">
        <f t="shared" si="5"/>
        <v>247</v>
      </c>
      <c r="H22" s="103">
        <f t="shared" si="6"/>
        <v>-2.3715415019762844E-2</v>
      </c>
      <c r="I22" s="106">
        <f t="shared" si="7"/>
        <v>-3557.3122529644265</v>
      </c>
      <c r="J22" s="102">
        <f t="shared" si="8"/>
        <v>257</v>
      </c>
      <c r="K22" s="103">
        <f t="shared" si="9"/>
        <v>1.5810276679841896E-2</v>
      </c>
      <c r="L22" s="104">
        <f t="shared" si="10"/>
        <v>2371.5415019762845</v>
      </c>
      <c r="M22" s="105">
        <f t="shared" si="11"/>
        <v>252</v>
      </c>
      <c r="N22" s="103">
        <f t="shared" si="12"/>
        <v>-3.952569169960474E-3</v>
      </c>
      <c r="O22" s="104">
        <f t="shared" si="13"/>
        <v>-592.88537549407113</v>
      </c>
      <c r="Q22" s="275"/>
      <c r="R22" s="275"/>
      <c r="S22" s="275"/>
    </row>
    <row r="23" spans="1:19" ht="17.25" customHeight="1" thickBot="1">
      <c r="A23" s="124" t="s">
        <v>256</v>
      </c>
      <c r="B23" s="125">
        <f t="shared" si="0"/>
        <v>244</v>
      </c>
      <c r="C23" s="73">
        <f t="shared" si="1"/>
        <v>-3.5573122499999998E-2</v>
      </c>
      <c r="D23" s="15">
        <f t="shared" si="2"/>
        <v>222</v>
      </c>
      <c r="E23" s="32">
        <f t="shared" si="3"/>
        <v>-9.0163934426229511E-2</v>
      </c>
      <c r="F23" s="18">
        <f t="shared" si="4"/>
        <v>-13524.590163934427</v>
      </c>
      <c r="G23" s="31">
        <f t="shared" si="5"/>
        <v>231</v>
      </c>
      <c r="H23" s="32">
        <f t="shared" si="6"/>
        <v>-5.3278688524590161E-2</v>
      </c>
      <c r="I23" s="97">
        <f t="shared" si="7"/>
        <v>-7991.8032786885242</v>
      </c>
      <c r="J23" s="15">
        <f t="shared" si="8"/>
        <v>238</v>
      </c>
      <c r="K23" s="32">
        <f t="shared" si="9"/>
        <v>-2.4590163934426229E-2</v>
      </c>
      <c r="L23" s="18">
        <f t="shared" si="10"/>
        <v>-3688.5245901639341</v>
      </c>
      <c r="M23" s="31">
        <f t="shared" si="11"/>
        <v>236</v>
      </c>
      <c r="N23" s="32">
        <f t="shared" si="12"/>
        <v>-3.2786885245901641E-2</v>
      </c>
      <c r="O23" s="18">
        <f t="shared" si="13"/>
        <v>-4918.0327868852464</v>
      </c>
      <c r="Q23" s="275"/>
      <c r="R23" s="275"/>
      <c r="S23" s="275"/>
    </row>
    <row r="24" spans="1:19" ht="17.25" customHeight="1" thickBot="1">
      <c r="A24" s="124" t="s">
        <v>208</v>
      </c>
      <c r="B24" s="125">
        <f t="shared" si="0"/>
        <v>474</v>
      </c>
      <c r="C24" s="73">
        <f t="shared" si="1"/>
        <v>-3.65853659E-2</v>
      </c>
      <c r="D24" s="15">
        <f t="shared" si="2"/>
        <v>435</v>
      </c>
      <c r="E24" s="32">
        <f t="shared" si="3"/>
        <v>-8.2278481012658222E-2</v>
      </c>
      <c r="F24" s="18">
        <f t="shared" si="4"/>
        <v>-12341.772151898733</v>
      </c>
      <c r="G24" s="31">
        <f t="shared" si="5"/>
        <v>447</v>
      </c>
      <c r="H24" s="32">
        <f t="shared" si="6"/>
        <v>-5.6962025316455694E-2</v>
      </c>
      <c r="I24" s="97">
        <f t="shared" si="7"/>
        <v>-8544.3037974683539</v>
      </c>
      <c r="J24" s="15">
        <f t="shared" si="8"/>
        <v>455</v>
      </c>
      <c r="K24" s="32">
        <f t="shared" si="9"/>
        <v>-4.0084388185654012E-2</v>
      </c>
      <c r="L24" s="18">
        <f t="shared" si="10"/>
        <v>-6012.6582278481019</v>
      </c>
      <c r="M24" s="31">
        <f t="shared" si="11"/>
        <v>461</v>
      </c>
      <c r="N24" s="32">
        <f t="shared" si="12"/>
        <v>-2.7426160337552744E-2</v>
      </c>
      <c r="O24" s="18">
        <f t="shared" si="13"/>
        <v>-4113.9240506329115</v>
      </c>
      <c r="Q24" s="275"/>
      <c r="R24" s="275"/>
      <c r="S24" s="275"/>
    </row>
    <row r="25" spans="1:19" ht="17.25" customHeight="1" thickBot="1">
      <c r="A25" s="124" t="s">
        <v>232</v>
      </c>
      <c r="B25" s="125">
        <f t="shared" si="0"/>
        <v>173</v>
      </c>
      <c r="C25" s="73">
        <f t="shared" si="1"/>
        <v>-3.8888888900000002E-2</v>
      </c>
      <c r="D25" s="15">
        <f t="shared" si="2"/>
        <v>162</v>
      </c>
      <c r="E25" s="32">
        <f t="shared" si="3"/>
        <v>-6.358381502890173E-2</v>
      </c>
      <c r="F25" s="18">
        <f t="shared" si="4"/>
        <v>-9537.5722543352604</v>
      </c>
      <c r="G25" s="31">
        <f t="shared" si="5"/>
        <v>168</v>
      </c>
      <c r="H25" s="32">
        <f t="shared" si="6"/>
        <v>-2.8901734104046242E-2</v>
      </c>
      <c r="I25" s="97">
        <f t="shared" si="7"/>
        <v>-4335.2601156069368</v>
      </c>
      <c r="J25" s="15">
        <f t="shared" si="8"/>
        <v>173</v>
      </c>
      <c r="K25" s="32">
        <f t="shared" si="9"/>
        <v>0</v>
      </c>
      <c r="L25" s="18">
        <f t="shared" si="10"/>
        <v>0</v>
      </c>
      <c r="M25" s="31">
        <f t="shared" si="11"/>
        <v>169</v>
      </c>
      <c r="N25" s="32">
        <f t="shared" si="12"/>
        <v>-2.3121387283236993E-2</v>
      </c>
      <c r="O25" s="18">
        <f t="shared" si="13"/>
        <v>-3468.2080924855491</v>
      </c>
      <c r="Q25" s="33"/>
      <c r="R25" s="33"/>
    </row>
    <row r="26" spans="1:19" ht="17.25" customHeight="1" thickBot="1">
      <c r="A26" s="129" t="s">
        <v>246</v>
      </c>
      <c r="B26" s="130">
        <f t="shared" si="0"/>
        <v>364</v>
      </c>
      <c r="C26" s="75">
        <f t="shared" si="1"/>
        <v>-3.9577836399999997E-2</v>
      </c>
      <c r="D26" s="24">
        <f t="shared" si="2"/>
        <v>340</v>
      </c>
      <c r="E26" s="25">
        <f t="shared" si="3"/>
        <v>-6.5934065934065936E-2</v>
      </c>
      <c r="F26" s="100">
        <f t="shared" si="4"/>
        <v>-9890.1098901098903</v>
      </c>
      <c r="G26" s="98">
        <f t="shared" si="5"/>
        <v>364</v>
      </c>
      <c r="H26" s="25">
        <f t="shared" si="6"/>
        <v>0</v>
      </c>
      <c r="I26" s="99">
        <f t="shared" si="7"/>
        <v>0</v>
      </c>
      <c r="J26" s="24">
        <f t="shared" si="8"/>
        <v>366</v>
      </c>
      <c r="K26" s="25">
        <f t="shared" si="9"/>
        <v>5.4945054945054949E-3</v>
      </c>
      <c r="L26" s="100">
        <f t="shared" si="10"/>
        <v>824.17582417582423</v>
      </c>
      <c r="M26" s="98">
        <f t="shared" si="11"/>
        <v>359</v>
      </c>
      <c r="N26" s="25">
        <f t="shared" si="12"/>
        <v>-1.3736263736263736E-2</v>
      </c>
      <c r="O26" s="100">
        <f t="shared" si="13"/>
        <v>-2060.4395604395604</v>
      </c>
      <c r="Q26" s="284"/>
      <c r="R26" s="285"/>
      <c r="S26" s="286"/>
    </row>
    <row r="27" spans="1:19" ht="17.25" customHeight="1">
      <c r="A27" s="122" t="s">
        <v>264</v>
      </c>
      <c r="B27" s="123">
        <f t="shared" si="0"/>
        <v>169</v>
      </c>
      <c r="C27" s="72">
        <f t="shared" si="1"/>
        <v>-3.9772727299999998E-2</v>
      </c>
      <c r="D27" s="13">
        <f t="shared" si="2"/>
        <v>155</v>
      </c>
      <c r="E27" s="14">
        <f t="shared" si="3"/>
        <v>-8.2840236686390539E-2</v>
      </c>
      <c r="F27" s="16">
        <f t="shared" si="4"/>
        <v>-12426.035502958581</v>
      </c>
      <c r="G27" s="29">
        <f t="shared" si="5"/>
        <v>162</v>
      </c>
      <c r="H27" s="14">
        <f t="shared" si="6"/>
        <v>-4.142011834319527E-2</v>
      </c>
      <c r="I27" s="96">
        <f t="shared" si="7"/>
        <v>-6213.0177514792904</v>
      </c>
      <c r="J27" s="13">
        <f t="shared" si="8"/>
        <v>162</v>
      </c>
      <c r="K27" s="14">
        <f t="shared" si="9"/>
        <v>-4.142011834319527E-2</v>
      </c>
      <c r="L27" s="16">
        <f t="shared" si="10"/>
        <v>-6213.0177514792904</v>
      </c>
      <c r="M27" s="29">
        <f t="shared" si="11"/>
        <v>163</v>
      </c>
      <c r="N27" s="14">
        <f t="shared" si="12"/>
        <v>-3.5502958579881658E-2</v>
      </c>
      <c r="O27" s="16">
        <f t="shared" si="13"/>
        <v>-5325.4437869822486</v>
      </c>
      <c r="Q27" s="287"/>
      <c r="R27" s="288"/>
      <c r="S27" s="289"/>
    </row>
    <row r="28" spans="1:19" ht="17.25" customHeight="1" thickBot="1">
      <c r="A28" s="124" t="s">
        <v>258</v>
      </c>
      <c r="B28" s="125">
        <f t="shared" si="0"/>
        <v>663</v>
      </c>
      <c r="C28" s="73">
        <f t="shared" si="1"/>
        <v>-4.19075145E-2</v>
      </c>
      <c r="D28" s="15">
        <f t="shared" si="2"/>
        <v>634</v>
      </c>
      <c r="E28" s="32">
        <f t="shared" si="3"/>
        <v>-4.3740573152337855E-2</v>
      </c>
      <c r="F28" s="18">
        <f t="shared" si="4"/>
        <v>-6561.0859728506784</v>
      </c>
      <c r="G28" s="31">
        <f t="shared" si="5"/>
        <v>652</v>
      </c>
      <c r="H28" s="32">
        <f t="shared" si="6"/>
        <v>-1.6591251885369532E-2</v>
      </c>
      <c r="I28" s="97">
        <f t="shared" si="7"/>
        <v>-2488.6877828054298</v>
      </c>
      <c r="J28" s="15">
        <f t="shared" si="8"/>
        <v>652</v>
      </c>
      <c r="K28" s="32">
        <f t="shared" si="9"/>
        <v>-1.6591251885369532E-2</v>
      </c>
      <c r="L28" s="18">
        <f t="shared" si="10"/>
        <v>-2488.6877828054298</v>
      </c>
      <c r="M28" s="31">
        <f t="shared" si="11"/>
        <v>665</v>
      </c>
      <c r="N28" s="32">
        <f t="shared" si="12"/>
        <v>3.0165912518853697E-3</v>
      </c>
      <c r="O28" s="18">
        <f t="shared" si="13"/>
        <v>452.48868778280547</v>
      </c>
      <c r="Q28" s="290"/>
      <c r="R28" s="291"/>
      <c r="S28" s="292"/>
    </row>
    <row r="29" spans="1:19" ht="17.25" customHeight="1" thickBot="1">
      <c r="A29" s="124" t="s">
        <v>116</v>
      </c>
      <c r="B29" s="125">
        <f t="shared" si="0"/>
        <v>637</v>
      </c>
      <c r="C29" s="73">
        <f t="shared" si="1"/>
        <v>-4.3543543499999997E-2</v>
      </c>
      <c r="D29" s="15">
        <f t="shared" si="2"/>
        <v>582</v>
      </c>
      <c r="E29" s="32">
        <f t="shared" si="3"/>
        <v>-8.6342229199372053E-2</v>
      </c>
      <c r="F29" s="18">
        <f t="shared" si="4"/>
        <v>-12951.334379905808</v>
      </c>
      <c r="G29" s="31">
        <f t="shared" si="5"/>
        <v>612</v>
      </c>
      <c r="H29" s="32">
        <f t="shared" si="6"/>
        <v>-3.924646781789639E-2</v>
      </c>
      <c r="I29" s="97">
        <f t="shared" si="7"/>
        <v>-5886.9701726844587</v>
      </c>
      <c r="J29" s="15">
        <f t="shared" si="8"/>
        <v>613</v>
      </c>
      <c r="K29" s="32">
        <f t="shared" si="9"/>
        <v>-3.7676609105180531E-2</v>
      </c>
      <c r="L29" s="18">
        <f t="shared" si="10"/>
        <v>-5651.4913657770794</v>
      </c>
      <c r="M29" s="31">
        <f t="shared" si="11"/>
        <v>608</v>
      </c>
      <c r="N29" s="32">
        <f t="shared" si="12"/>
        <v>-4.5525902668759811E-2</v>
      </c>
      <c r="O29" s="18">
        <f t="shared" si="13"/>
        <v>-6828.8854003139713</v>
      </c>
      <c r="Q29" s="275"/>
      <c r="R29" s="275"/>
      <c r="S29" s="275"/>
    </row>
    <row r="30" spans="1:19" ht="17.25" customHeight="1" thickBot="1">
      <c r="A30" s="124" t="s">
        <v>132</v>
      </c>
      <c r="B30" s="125">
        <f t="shared" si="0"/>
        <v>273</v>
      </c>
      <c r="C30" s="73">
        <f t="shared" si="1"/>
        <v>-4.5454545499999999E-2</v>
      </c>
      <c r="D30" s="15">
        <f t="shared" si="2"/>
        <v>253</v>
      </c>
      <c r="E30" s="32">
        <f t="shared" si="3"/>
        <v>-7.3260073260073263E-2</v>
      </c>
      <c r="F30" s="18">
        <f t="shared" si="4"/>
        <v>-10989.010989010989</v>
      </c>
      <c r="G30" s="31">
        <f t="shared" si="5"/>
        <v>263</v>
      </c>
      <c r="H30" s="32">
        <f t="shared" si="6"/>
        <v>-3.6630036630036632E-2</v>
      </c>
      <c r="I30" s="97">
        <f t="shared" si="7"/>
        <v>-5494.5054945054944</v>
      </c>
      <c r="J30" s="15">
        <f t="shared" si="8"/>
        <v>258</v>
      </c>
      <c r="K30" s="32">
        <f t="shared" si="9"/>
        <v>-5.4945054945054944E-2</v>
      </c>
      <c r="L30" s="18">
        <f t="shared" si="10"/>
        <v>-8241.7582417582416</v>
      </c>
      <c r="M30" s="31">
        <f t="shared" si="11"/>
        <v>254</v>
      </c>
      <c r="N30" s="32">
        <f t="shared" si="12"/>
        <v>-6.95970695970696E-2</v>
      </c>
      <c r="O30" s="18">
        <f t="shared" si="13"/>
        <v>-10439.56043956044</v>
      </c>
      <c r="Q30" s="270"/>
      <c r="R30" s="270"/>
      <c r="S30" s="270"/>
    </row>
    <row r="31" spans="1:19" ht="17.25" customHeight="1" thickBot="1">
      <c r="A31" s="126" t="s">
        <v>284</v>
      </c>
      <c r="B31" s="127">
        <f t="shared" si="0"/>
        <v>495</v>
      </c>
      <c r="C31" s="74">
        <f t="shared" si="1"/>
        <v>-4.9904030699999997E-2</v>
      </c>
      <c r="D31" s="20">
        <f t="shared" si="2"/>
        <v>435</v>
      </c>
      <c r="E31" s="21">
        <f t="shared" si="3"/>
        <v>-0.12121212121212122</v>
      </c>
      <c r="F31" s="22">
        <f t="shared" si="4"/>
        <v>-18181.818181818184</v>
      </c>
      <c r="G31" s="30">
        <f t="shared" si="5"/>
        <v>453</v>
      </c>
      <c r="H31" s="21">
        <f t="shared" si="6"/>
        <v>-8.4848484848484854E-2</v>
      </c>
      <c r="I31" s="101">
        <f t="shared" si="7"/>
        <v>-12727.272727272728</v>
      </c>
      <c r="J31" s="20">
        <f t="shared" si="8"/>
        <v>456</v>
      </c>
      <c r="K31" s="21">
        <f t="shared" si="9"/>
        <v>-7.8787878787878782E-2</v>
      </c>
      <c r="L31" s="22">
        <f t="shared" si="10"/>
        <v>-11818.181818181818</v>
      </c>
      <c r="M31" s="30">
        <f t="shared" si="11"/>
        <v>460</v>
      </c>
      <c r="N31" s="21">
        <f t="shared" si="12"/>
        <v>-7.0707070707070704E-2</v>
      </c>
      <c r="O31" s="22">
        <f t="shared" si="13"/>
        <v>-10606.060606060606</v>
      </c>
      <c r="Q31" s="270"/>
      <c r="R31" s="270"/>
      <c r="S31" s="270"/>
    </row>
    <row r="32" spans="1:19" ht="17.25" customHeight="1" thickBot="1">
      <c r="A32" s="124" t="s">
        <v>128</v>
      </c>
      <c r="B32" s="128">
        <f t="shared" si="0"/>
        <v>685</v>
      </c>
      <c r="C32" s="76">
        <f t="shared" si="1"/>
        <v>-5.12465374E-2</v>
      </c>
      <c r="D32" s="102">
        <f t="shared" si="2"/>
        <v>637</v>
      </c>
      <c r="E32" s="103">
        <f t="shared" si="3"/>
        <v>-7.0072992700729933E-2</v>
      </c>
      <c r="F32" s="104">
        <f t="shared" si="4"/>
        <v>-10510.94890510949</v>
      </c>
      <c r="G32" s="105">
        <f t="shared" si="5"/>
        <v>647</v>
      </c>
      <c r="H32" s="103">
        <f t="shared" si="6"/>
        <v>-5.5474452554744529E-2</v>
      </c>
      <c r="I32" s="106">
        <f t="shared" si="7"/>
        <v>-8321.1678832116795</v>
      </c>
      <c r="J32" s="102">
        <f t="shared" si="8"/>
        <v>643</v>
      </c>
      <c r="K32" s="103">
        <f t="shared" si="9"/>
        <v>-6.1313868613138686E-2</v>
      </c>
      <c r="L32" s="104">
        <f t="shared" si="10"/>
        <v>-9197.0802919708021</v>
      </c>
      <c r="M32" s="105">
        <f t="shared" si="11"/>
        <v>636</v>
      </c>
      <c r="N32" s="103">
        <f t="shared" si="12"/>
        <v>-7.153284671532846E-2</v>
      </c>
      <c r="O32" s="104">
        <f t="shared" si="13"/>
        <v>-10729.927007299269</v>
      </c>
      <c r="Q32" s="275"/>
      <c r="R32" s="275"/>
      <c r="S32" s="275"/>
    </row>
    <row r="33" spans="1:19" ht="17.25" customHeight="1" thickBot="1">
      <c r="A33" s="124" t="s">
        <v>142</v>
      </c>
      <c r="B33" s="125">
        <f t="shared" si="0"/>
        <v>450</v>
      </c>
      <c r="C33" s="73">
        <f t="shared" si="1"/>
        <v>-5.2631578900000003E-2</v>
      </c>
      <c r="D33" s="15">
        <f t="shared" si="2"/>
        <v>423</v>
      </c>
      <c r="E33" s="32">
        <f t="shared" si="3"/>
        <v>-0.06</v>
      </c>
      <c r="F33" s="18">
        <f t="shared" si="4"/>
        <v>-9000</v>
      </c>
      <c r="G33" s="31">
        <f t="shared" si="5"/>
        <v>436</v>
      </c>
      <c r="H33" s="32">
        <f t="shared" si="6"/>
        <v>-3.111111111111111E-2</v>
      </c>
      <c r="I33" s="97">
        <f t="shared" si="7"/>
        <v>-4666.666666666667</v>
      </c>
      <c r="J33" s="15">
        <f t="shared" si="8"/>
        <v>435</v>
      </c>
      <c r="K33" s="32">
        <f t="shared" si="9"/>
        <v>-3.3333333333333333E-2</v>
      </c>
      <c r="L33" s="18">
        <f t="shared" si="10"/>
        <v>-5000</v>
      </c>
      <c r="M33" s="31">
        <f t="shared" si="11"/>
        <v>432</v>
      </c>
      <c r="N33" s="32">
        <f t="shared" si="12"/>
        <v>-0.04</v>
      </c>
      <c r="O33" s="18">
        <f t="shared" si="13"/>
        <v>-6000</v>
      </c>
      <c r="Q33" s="275"/>
      <c r="R33" s="275"/>
      <c r="S33" s="275"/>
    </row>
    <row r="34" spans="1:19" ht="17.25" customHeight="1" thickBot="1">
      <c r="A34" s="124" t="s">
        <v>182</v>
      </c>
      <c r="B34" s="125">
        <f t="shared" si="0"/>
        <v>533</v>
      </c>
      <c r="C34" s="73">
        <f t="shared" si="1"/>
        <v>-5.8303886899999997E-2</v>
      </c>
      <c r="D34" s="15">
        <f t="shared" si="2"/>
        <v>475</v>
      </c>
      <c r="E34" s="32">
        <f t="shared" si="3"/>
        <v>-0.10881801125703565</v>
      </c>
      <c r="F34" s="18">
        <f t="shared" si="4"/>
        <v>-16322.701688555348</v>
      </c>
      <c r="G34" s="31">
        <f t="shared" si="5"/>
        <v>492</v>
      </c>
      <c r="H34" s="32">
        <f t="shared" si="6"/>
        <v>-7.6923076923076927E-2</v>
      </c>
      <c r="I34" s="97">
        <f t="shared" si="7"/>
        <v>-11538.461538461539</v>
      </c>
      <c r="J34" s="15">
        <f t="shared" si="8"/>
        <v>488</v>
      </c>
      <c r="K34" s="32">
        <f t="shared" si="9"/>
        <v>-8.4427767354596617E-2</v>
      </c>
      <c r="L34" s="18">
        <f t="shared" si="10"/>
        <v>-12664.165103189493</v>
      </c>
      <c r="M34" s="31">
        <f t="shared" si="11"/>
        <v>489</v>
      </c>
      <c r="N34" s="32">
        <f t="shared" si="12"/>
        <v>-8.2551594746716694E-2</v>
      </c>
      <c r="O34" s="18">
        <f t="shared" si="13"/>
        <v>-12382.739212007504</v>
      </c>
      <c r="Q34" s="275"/>
      <c r="R34" s="275"/>
      <c r="S34" s="275"/>
    </row>
    <row r="35" spans="1:19" ht="17.25" customHeight="1">
      <c r="A35" s="124" t="s">
        <v>240</v>
      </c>
      <c r="B35" s="125">
        <f t="shared" si="0"/>
        <v>172</v>
      </c>
      <c r="C35" s="73">
        <f t="shared" si="1"/>
        <v>-6.5217391299999997E-2</v>
      </c>
      <c r="D35" s="15">
        <f t="shared" si="2"/>
        <v>160</v>
      </c>
      <c r="E35" s="32">
        <f t="shared" si="3"/>
        <v>-6.9767441860465115E-2</v>
      </c>
      <c r="F35" s="18">
        <f t="shared" si="4"/>
        <v>-10465.116279069767</v>
      </c>
      <c r="G35" s="31">
        <f t="shared" si="5"/>
        <v>167</v>
      </c>
      <c r="H35" s="32">
        <f t="shared" si="6"/>
        <v>-2.9069767441860465E-2</v>
      </c>
      <c r="I35" s="97">
        <f t="shared" si="7"/>
        <v>-4360.4651162790697</v>
      </c>
      <c r="J35" s="15">
        <f t="shared" si="8"/>
        <v>169</v>
      </c>
      <c r="K35" s="32">
        <f t="shared" si="9"/>
        <v>-1.7441860465116279E-2</v>
      </c>
      <c r="L35" s="18">
        <f t="shared" si="10"/>
        <v>-2616.2790697674418</v>
      </c>
      <c r="M35" s="31">
        <f t="shared" si="11"/>
        <v>169</v>
      </c>
      <c r="N35" s="32">
        <f t="shared" si="12"/>
        <v>-1.7441860465116279E-2</v>
      </c>
      <c r="O35" s="18">
        <f t="shared" si="13"/>
        <v>-2616.2790697674418</v>
      </c>
      <c r="Q35" s="297"/>
      <c r="R35" s="298"/>
      <c r="S35" s="299"/>
    </row>
    <row r="36" spans="1:19" ht="17.25" customHeight="1" thickBot="1">
      <c r="A36" s="129" t="s">
        <v>296</v>
      </c>
      <c r="B36" s="130">
        <f t="shared" si="0"/>
        <v>632</v>
      </c>
      <c r="C36" s="75">
        <f t="shared" si="1"/>
        <v>-0.1009957326</v>
      </c>
      <c r="D36" s="24">
        <f t="shared" si="2"/>
        <v>598</v>
      </c>
      <c r="E36" s="25">
        <f t="shared" si="3"/>
        <v>-5.3797468354430382E-2</v>
      </c>
      <c r="F36" s="100">
        <f t="shared" si="4"/>
        <v>-8069.6202531645577</v>
      </c>
      <c r="G36" s="98">
        <f t="shared" si="5"/>
        <v>639</v>
      </c>
      <c r="H36" s="25">
        <f t="shared" si="6"/>
        <v>1.1075949367088608E-2</v>
      </c>
      <c r="I36" s="99">
        <f t="shared" si="7"/>
        <v>1661.3924050632911</v>
      </c>
      <c r="J36" s="24">
        <f t="shared" si="8"/>
        <v>615</v>
      </c>
      <c r="K36" s="25">
        <f t="shared" si="9"/>
        <v>-2.6898734177215191E-2</v>
      </c>
      <c r="L36" s="100">
        <f t="shared" si="10"/>
        <v>-4034.8101265822788</v>
      </c>
      <c r="M36" s="98">
        <f t="shared" si="11"/>
        <v>616</v>
      </c>
      <c r="N36" s="25">
        <f t="shared" si="12"/>
        <v>-2.5316455696202531E-2</v>
      </c>
      <c r="O36" s="100">
        <f t="shared" si="13"/>
        <v>-3797.4683544303798</v>
      </c>
      <c r="Q36" s="300"/>
      <c r="R36" s="301"/>
      <c r="S36" s="302"/>
    </row>
    <row r="37" spans="1:19" ht="17.25" customHeight="1" thickBot="1">
      <c r="A37" s="131" t="s">
        <v>42</v>
      </c>
      <c r="B37" s="308">
        <v>150000</v>
      </c>
      <c r="C37" s="309"/>
      <c r="D37" s="26" t="s">
        <v>43</v>
      </c>
      <c r="E37" s="27">
        <f>IF(COUNT(E17:E36), SUM(E17:E36) / COUNT(E17:E36), 0)</f>
        <v>-6.9003351335458304E-2</v>
      </c>
      <c r="F37" s="28">
        <f>SUM(F17:F36)</f>
        <v>-207010.05400637494</v>
      </c>
      <c r="G37" s="26" t="s">
        <v>43</v>
      </c>
      <c r="H37" s="27">
        <f>IF(COUNT(H17:H36), SUM(H17:H36) / COUNT(H17:H36), 0)</f>
        <v>-3.3941409927125035E-2</v>
      </c>
      <c r="I37" s="28">
        <f>SUM(I17:I36)</f>
        <v>-101824.22978137511</v>
      </c>
      <c r="J37" s="26" t="s">
        <v>43</v>
      </c>
      <c r="K37" s="27">
        <f>IF(COUNT(K17:K36), SUM(K17:K36) / COUNT(K17:K36), 0)</f>
        <v>-2.5603668849239626E-2</v>
      </c>
      <c r="L37" s="28">
        <f>SUM(L17:L36)</f>
        <v>-76811.006547718862</v>
      </c>
      <c r="M37" s="26" t="s">
        <v>43</v>
      </c>
      <c r="N37" s="27">
        <f>IF(COUNT(N17:N36), SUM(N17:N36) / COUNT(N17:N36), 0)</f>
        <v>-3.0483661015306751E-2</v>
      </c>
      <c r="O37" s="28">
        <f>SUM(O17:O36)</f>
        <v>-91450.983045920249</v>
      </c>
      <c r="Q37" s="303"/>
      <c r="R37" s="304"/>
      <c r="S37" s="305"/>
    </row>
    <row r="38" spans="1:19" ht="17.25" customHeight="1"/>
    <row r="39" spans="1:19" ht="17.25" customHeight="1" thickBot="1"/>
    <row r="40" spans="1:19" ht="17.25" customHeight="1" thickBot="1">
      <c r="A40" s="249" t="s">
        <v>44</v>
      </c>
      <c r="B40" s="250"/>
      <c r="C40" s="250"/>
      <c r="D40" s="250"/>
      <c r="E40" s="250"/>
      <c r="F40" s="250"/>
      <c r="G40" s="250"/>
      <c r="H40" s="250"/>
      <c r="I40" s="250"/>
      <c r="J40" s="250"/>
      <c r="K40" s="250"/>
      <c r="L40" s="250"/>
      <c r="M40" s="250"/>
      <c r="N40" s="250"/>
      <c r="O40" s="251"/>
      <c r="Q40" s="270"/>
      <c r="R40" s="270"/>
      <c r="S40" s="270"/>
    </row>
    <row r="41" spans="1:19" ht="17.25" customHeight="1" thickBot="1">
      <c r="A41" s="186" t="s">
        <v>298</v>
      </c>
      <c r="B41" s="249" t="s">
        <v>49</v>
      </c>
      <c r="C41" s="251"/>
      <c r="D41" s="249" t="s">
        <v>58</v>
      </c>
      <c r="E41" s="250"/>
      <c r="F41" s="251"/>
      <c r="G41" s="276">
        <f>_xlfn.IFNA(VLOOKUP(B41, 현재가테이블!$B$2:$D$200, 2, FALSE), "-")</f>
        <v>60874000</v>
      </c>
      <c r="H41" s="277"/>
      <c r="I41" s="278"/>
      <c r="J41" s="249" t="s">
        <v>59</v>
      </c>
      <c r="K41" s="250"/>
      <c r="L41" s="251"/>
      <c r="M41" s="279">
        <f>_xlfn.IFNA(VLOOKUP(B41, 현재가테이블!$B$2:$D$200, 3, FALSE), "-")</f>
        <v>-1.4936000099999999E-2</v>
      </c>
      <c r="N41" s="280"/>
      <c r="O41" s="281"/>
      <c r="Q41" s="270"/>
      <c r="R41" s="270"/>
      <c r="S41" s="270"/>
    </row>
    <row r="42" spans="1:19" ht="17.25" customHeight="1" thickBot="1">
      <c r="A42" s="310" t="s">
        <v>55</v>
      </c>
      <c r="B42" s="312" t="str">
        <f>TEXT($G$1, "[$-ko-KR]yyyy-mm-dd(ddd) ") &amp; "오전 00:00"</f>
        <v>2021-05-11(화) 오전 00:00</v>
      </c>
      <c r="C42" s="313"/>
      <c r="D42" s="272" t="str">
        <f>TEXT($G$1, "[$-ko-KR]yyyy-mm-dd(ddd) ") &amp; "오후 14:00"</f>
        <v>2021-05-11(화) 오후 14:00</v>
      </c>
      <c r="E42" s="273"/>
      <c r="F42" s="274"/>
      <c r="G42" s="272" t="str">
        <f>TEXT($G$1, "[$-ko-KR]yyyy-mm-dd(ddd) ") &amp; "오후 19:00"</f>
        <v>2021-05-11(화) 오후 19:00</v>
      </c>
      <c r="H42" s="273"/>
      <c r="I42" s="274"/>
      <c r="J42" s="272" t="str">
        <f>TEXT($G$1, "[$-ko-KR]yyyy-mm-dd(ddd) ") &amp; "오후 21:00"</f>
        <v>2021-05-11(화) 오후 21:00</v>
      </c>
      <c r="K42" s="273"/>
      <c r="L42" s="274"/>
      <c r="M42" s="272" t="str">
        <f>TEXT($G$1+1, "[$-ko-KR]yyyy-mm-dd(ddd) ") &amp; "오전 00:00"</f>
        <v>2021-05-12(수) 오전 00:00</v>
      </c>
      <c r="N42" s="273"/>
      <c r="O42" s="274"/>
      <c r="Q42" s="270"/>
      <c r="R42" s="270"/>
      <c r="S42" s="270"/>
    </row>
    <row r="43" spans="1:19" ht="17.25" customHeight="1" thickBot="1">
      <c r="A43" s="311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92" t="s">
        <v>58</v>
      </c>
      <c r="H43" s="193" t="s">
        <v>299</v>
      </c>
      <c r="I43" s="19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75"/>
      <c r="R43" s="275"/>
      <c r="S43" s="275"/>
    </row>
    <row r="44" spans="1:19" ht="17.25" customHeight="1" thickBot="1">
      <c r="A44" s="122" t="s">
        <v>228</v>
      </c>
      <c r="B44" s="123">
        <v>18.2</v>
      </c>
      <c r="C44" s="72">
        <v>3.4090909099999997E-2</v>
      </c>
      <c r="D44" s="13">
        <v>17.3</v>
      </c>
      <c r="E44" s="14">
        <f>IF(ISNUMBER(D44), (D44 - $B44) / $B44, "")</f>
        <v>-4.9450549450549372E-2</v>
      </c>
      <c r="F44" s="16">
        <f>IF(ISNUMBER(D44), $B64 * E44, "")</f>
        <v>-7417.5824175824055</v>
      </c>
      <c r="G44" s="29">
        <v>17.8</v>
      </c>
      <c r="H44" s="14">
        <f>IF(ISNUMBER(G44), (G44 - $B44) / $B44, "")</f>
        <v>-2.19780219780219E-2</v>
      </c>
      <c r="I44" s="96">
        <f>IF(ISNUMBER(G44), $B64 * H44, "")</f>
        <v>-3296.7032967032851</v>
      </c>
      <c r="J44" s="13">
        <v>18</v>
      </c>
      <c r="K44" s="14">
        <f>IF(ISNUMBER(J44), (J44 - $B44) / $B44, "")</f>
        <v>-1.098901098901095E-2</v>
      </c>
      <c r="L44" s="16">
        <f>IF(ISNUMBER(J44), $B64 * K44, "")</f>
        <v>-1648.3516483516426</v>
      </c>
      <c r="M44" s="29">
        <v>18</v>
      </c>
      <c r="N44" s="14">
        <f>IF(ISNUMBER(M44), (M44 - $B44) / $B44, "")</f>
        <v>-1.098901098901095E-2</v>
      </c>
      <c r="O44" s="16">
        <f>IF(ISNUMBER(M44), $B64 * N44, "")</f>
        <v>-1648.3516483516426</v>
      </c>
      <c r="Q44" s="270"/>
      <c r="R44" s="270"/>
      <c r="S44" s="270"/>
    </row>
    <row r="45" spans="1:19" ht="17.25" customHeight="1" thickBot="1">
      <c r="A45" s="124" t="s">
        <v>222</v>
      </c>
      <c r="B45" s="125">
        <v>17.899999999999999</v>
      </c>
      <c r="C45" s="73">
        <v>-5.5555556000000004E-3</v>
      </c>
      <c r="D45" s="15">
        <v>17.2</v>
      </c>
      <c r="E45" s="32">
        <f t="shared" ref="E45:E48" si="14">IF(ISNUMBER(D45), (D45 - $B45) / $B45, "")</f>
        <v>-3.9106145251396614E-2</v>
      </c>
      <c r="F45" s="18">
        <f>IF(ISNUMBER(D45), $B64 * E45, "")</f>
        <v>-5865.9217877094925</v>
      </c>
      <c r="G45" s="31">
        <v>18</v>
      </c>
      <c r="H45" s="32">
        <f t="shared" ref="H45:H48" si="15">IF(ISNUMBER(G45), (G45 - $B45) / $B45, "")</f>
        <v>5.5865921787710297E-3</v>
      </c>
      <c r="I45" s="97">
        <f>IF(ISNUMBER(G45), $B64 * H45, "")</f>
        <v>837.98882681565442</v>
      </c>
      <c r="J45" s="15">
        <v>18.3</v>
      </c>
      <c r="K45" s="32">
        <f t="shared" ref="K45:K48" si="16">IF(ISNUMBER(J45), (J45 - $B45) / $B45, "")</f>
        <v>2.2346368715083921E-2</v>
      </c>
      <c r="L45" s="18">
        <f>IF(ISNUMBER(J45), $B64 * K45, "")</f>
        <v>3351.9553072625881</v>
      </c>
      <c r="M45" s="31">
        <v>18.100000000000001</v>
      </c>
      <c r="N45" s="32">
        <f t="shared" ref="N45:N48" si="17">IF(ISNUMBER(M45), (M45 - $B45) / $B45, "")</f>
        <v>1.1173184357542059E-2</v>
      </c>
      <c r="O45" s="18">
        <f>IF(ISNUMBER(M45), $B64 * N45, "")</f>
        <v>1675.9776536313088</v>
      </c>
      <c r="Q45" s="270"/>
      <c r="R45" s="270"/>
      <c r="S45" s="270"/>
    </row>
    <row r="46" spans="1:19" ht="17.25" customHeight="1" thickBot="1">
      <c r="A46" s="124" t="s">
        <v>172</v>
      </c>
      <c r="B46" s="125">
        <v>23.4</v>
      </c>
      <c r="C46" s="73">
        <v>-1.26582278E-2</v>
      </c>
      <c r="D46" s="15">
        <v>22.7</v>
      </c>
      <c r="E46" s="32">
        <f t="shared" si="14"/>
        <v>-2.9914529914529885E-2</v>
      </c>
      <c r="F46" s="18">
        <f>IF(ISNUMBER(D46), $B64 * E46, "")</f>
        <v>-4487.1794871794827</v>
      </c>
      <c r="G46" s="31">
        <v>24</v>
      </c>
      <c r="H46" s="32">
        <f t="shared" si="15"/>
        <v>2.5641025641025703E-2</v>
      </c>
      <c r="I46" s="97">
        <f>IF(ISNUMBER(G46), $B64 * H46, "")</f>
        <v>3846.1538461538553</v>
      </c>
      <c r="J46" s="15">
        <v>24.4</v>
      </c>
      <c r="K46" s="32">
        <f t="shared" si="16"/>
        <v>4.2735042735042736E-2</v>
      </c>
      <c r="L46" s="18">
        <f>IF(ISNUMBER(J46), $B64 * K46, "")</f>
        <v>6410.2564102564102</v>
      </c>
      <c r="M46" s="31">
        <v>23.9</v>
      </c>
      <c r="N46" s="32">
        <f t="shared" si="17"/>
        <v>2.1367521367521368E-2</v>
      </c>
      <c r="O46" s="18">
        <f>IF(ISNUMBER(M46), $B64 * N46, "")</f>
        <v>3205.1282051282051</v>
      </c>
      <c r="Q46" s="275"/>
      <c r="R46" s="275"/>
      <c r="S46" s="275"/>
    </row>
    <row r="47" spans="1:19" ht="17.25" customHeight="1" thickBot="1">
      <c r="A47" s="124" t="s">
        <v>196</v>
      </c>
      <c r="B47" s="125">
        <v>19.2</v>
      </c>
      <c r="C47" s="73">
        <v>-1.5384615399999999E-2</v>
      </c>
      <c r="D47" s="15">
        <v>18.5</v>
      </c>
      <c r="E47" s="32">
        <f t="shared" si="14"/>
        <v>-3.6458333333333301E-2</v>
      </c>
      <c r="F47" s="18">
        <f>IF(ISNUMBER(D47), $B64 * E47, "")</f>
        <v>-5468.7499999999955</v>
      </c>
      <c r="G47" s="31">
        <v>19.2</v>
      </c>
      <c r="H47" s="32">
        <f t="shared" si="15"/>
        <v>0</v>
      </c>
      <c r="I47" s="97">
        <f>IF(ISNUMBER(G47), $B64 * H47, "")</f>
        <v>0</v>
      </c>
      <c r="J47" s="15">
        <v>19.7</v>
      </c>
      <c r="K47" s="32">
        <f t="shared" si="16"/>
        <v>2.6041666666666668E-2</v>
      </c>
      <c r="L47" s="18">
        <f>IF(ISNUMBER(J47), $B64 * K47, "")</f>
        <v>3906.25</v>
      </c>
      <c r="M47" s="31">
        <v>19.3</v>
      </c>
      <c r="N47" s="32">
        <f t="shared" si="17"/>
        <v>5.2083333333334076E-3</v>
      </c>
      <c r="O47" s="18">
        <f>IF(ISNUMBER(M47), $B64 * N47, "")</f>
        <v>781.25000000001114</v>
      </c>
      <c r="Q47" s="275"/>
      <c r="R47" s="275"/>
      <c r="S47" s="275"/>
    </row>
    <row r="48" spans="1:19" ht="17.25" customHeight="1" thickBot="1">
      <c r="A48" s="126" t="s">
        <v>65</v>
      </c>
      <c r="B48" s="127">
        <v>76.599999999999994</v>
      </c>
      <c r="C48" s="74">
        <v>-1.6688061600000002E-2</v>
      </c>
      <c r="D48" s="20">
        <v>69.900000000000006</v>
      </c>
      <c r="E48" s="21">
        <f t="shared" si="14"/>
        <v>-8.7467362924281838E-2</v>
      </c>
      <c r="F48" s="22">
        <f>IF(ISNUMBER(D48), $B64 * E48, "")</f>
        <v>-13120.104438642276</v>
      </c>
      <c r="G48" s="30">
        <v>71.5</v>
      </c>
      <c r="H48" s="21">
        <f t="shared" si="15"/>
        <v>-6.6579634464751888E-2</v>
      </c>
      <c r="I48" s="101">
        <f>IF(ISNUMBER(G48), $B64 * H48, "")</f>
        <v>-9986.9451697127824</v>
      </c>
      <c r="J48" s="20">
        <v>72.3</v>
      </c>
      <c r="K48" s="21">
        <f t="shared" si="16"/>
        <v>-5.6135770234986913E-2</v>
      </c>
      <c r="L48" s="22">
        <f>IF(ISNUMBER(J48), $B64 * K48, "")</f>
        <v>-8420.3655352480364</v>
      </c>
      <c r="M48" s="30">
        <v>71.3</v>
      </c>
      <c r="N48" s="21">
        <f t="shared" si="17"/>
        <v>-6.9190600522193182E-2</v>
      </c>
      <c r="O48" s="22">
        <f>IF(ISNUMBER(M48), $B64 * N48, "")</f>
        <v>-10378.590078328978</v>
      </c>
      <c r="Q48" s="275"/>
      <c r="R48" s="275"/>
      <c r="S48" s="275"/>
    </row>
    <row r="49" spans="1:19" ht="17.25" customHeight="1" thickBot="1">
      <c r="A49" s="124" t="s">
        <v>218</v>
      </c>
      <c r="B49" s="128">
        <v>26.5</v>
      </c>
      <c r="C49" s="76">
        <v>-1.8518518500000001E-2</v>
      </c>
      <c r="D49" s="102">
        <v>24.9</v>
      </c>
      <c r="E49" s="103">
        <f>IF(ISNUMBER(D49), (D49 - $B49) / $B49, "")</f>
        <v>-6.0377358490566094E-2</v>
      </c>
      <c r="F49" s="104">
        <f>IF(ISNUMBER(D49), $B64 * E49, "")</f>
        <v>-9056.603773584915</v>
      </c>
      <c r="G49" s="105">
        <v>26.5</v>
      </c>
      <c r="H49" s="103">
        <f>IF(ISNUMBER(G49), (G49 - $B49) / $B49, "")</f>
        <v>0</v>
      </c>
      <c r="I49" s="106">
        <f>IF(ISNUMBER(G49), $B64 * H49, "")</f>
        <v>0</v>
      </c>
      <c r="J49" s="102">
        <v>26.7</v>
      </c>
      <c r="K49" s="103">
        <f>IF(ISNUMBER(J49), (J49 - $B49) / $B49, "")</f>
        <v>7.5471698113207279E-3</v>
      </c>
      <c r="L49" s="104">
        <f>IF(ISNUMBER(J49), $B64 * K49, "")</f>
        <v>1132.0754716981091</v>
      </c>
      <c r="M49" s="105">
        <v>26.8</v>
      </c>
      <c r="N49" s="103">
        <f>IF(ISNUMBER(M49), (M49 - $B49) / $B49, "")</f>
        <v>1.1320754716981159E-2</v>
      </c>
      <c r="O49" s="104">
        <f>IF(ISNUMBER(M49), $B64 * N49, "")</f>
        <v>1698.1132075471739</v>
      </c>
      <c r="Q49" s="275"/>
      <c r="R49" s="275"/>
      <c r="S49" s="275"/>
    </row>
    <row r="50" spans="1:19" ht="17.25" customHeight="1" thickBot="1">
      <c r="A50" s="124" t="s">
        <v>126</v>
      </c>
      <c r="B50" s="125">
        <v>57.7</v>
      </c>
      <c r="C50" s="73">
        <v>-2.20338983E-2</v>
      </c>
      <c r="D50" s="15">
        <v>52.7</v>
      </c>
      <c r="E50" s="32">
        <f t="shared" ref="E50:E53" si="18">IF(ISNUMBER(D50), (D50 - $B50) / $B50, "")</f>
        <v>-8.6655112651646438E-2</v>
      </c>
      <c r="F50" s="18">
        <f>IF(ISNUMBER(D50), $B64 * E50, "")</f>
        <v>-12998.266897746966</v>
      </c>
      <c r="G50" s="31">
        <v>61.5</v>
      </c>
      <c r="H50" s="32">
        <f t="shared" ref="H50:H53" si="19">IF(ISNUMBER(G50), (G50 - $B50) / $B50, "")</f>
        <v>6.5857885615251244E-2</v>
      </c>
      <c r="I50" s="97">
        <f>IF(ISNUMBER(G50), $B64 * H50, "")</f>
        <v>9878.6828422876861</v>
      </c>
      <c r="J50" s="15">
        <v>59.3</v>
      </c>
      <c r="K50" s="32">
        <f t="shared" ref="K50:K53" si="20">IF(ISNUMBER(J50), (J50 - $B50) / $B50, "")</f>
        <v>2.7729636048526764E-2</v>
      </c>
      <c r="L50" s="18">
        <f>IF(ISNUMBER(J50), $B64 * K50, "")</f>
        <v>4159.4454072790149</v>
      </c>
      <c r="M50" s="31">
        <v>57.7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75"/>
      <c r="R50" s="275"/>
      <c r="S50" s="275"/>
    </row>
    <row r="51" spans="1:19" ht="17.25" customHeight="1" thickBot="1">
      <c r="A51" s="124" t="s">
        <v>254</v>
      </c>
      <c r="B51" s="125">
        <v>79.7</v>
      </c>
      <c r="C51" s="73">
        <v>-2.32843137E-2</v>
      </c>
      <c r="D51" s="15">
        <v>75.7</v>
      </c>
      <c r="E51" s="32">
        <f t="shared" si="18"/>
        <v>-5.0188205771643665E-2</v>
      </c>
      <c r="F51" s="18">
        <f>IF(ISNUMBER(D51), $B64 * E51, "")</f>
        <v>-7528.2308657465501</v>
      </c>
      <c r="G51" s="31">
        <v>81.2</v>
      </c>
      <c r="H51" s="32">
        <f t="shared" si="19"/>
        <v>1.8820577164366373E-2</v>
      </c>
      <c r="I51" s="97">
        <f>IF(ISNUMBER(G51), $B64 * H51, "")</f>
        <v>2823.0865746549557</v>
      </c>
      <c r="J51" s="15">
        <v>85.5</v>
      </c>
      <c r="K51" s="32">
        <f t="shared" si="20"/>
        <v>7.2772898368883274E-2</v>
      </c>
      <c r="L51" s="18">
        <f>IF(ISNUMBER(J51), $B64 * K51, "")</f>
        <v>10915.934755332491</v>
      </c>
      <c r="M51" s="31">
        <v>88.5</v>
      </c>
      <c r="N51" s="32">
        <f t="shared" si="21"/>
        <v>0.11041405269761602</v>
      </c>
      <c r="O51" s="18">
        <f>IF(ISNUMBER(M51), $B64 * N51, "")</f>
        <v>16562.107904642402</v>
      </c>
      <c r="Q51" s="275"/>
      <c r="R51" s="275"/>
      <c r="S51" s="275"/>
    </row>
    <row r="52" spans="1:19" ht="17.25" customHeight="1" thickBot="1">
      <c r="A52" s="124" t="s">
        <v>72</v>
      </c>
      <c r="B52" s="125">
        <v>36.700000000000003</v>
      </c>
      <c r="C52" s="73">
        <v>-2.3936170199999999E-2</v>
      </c>
      <c r="D52" s="15">
        <v>34.200000000000003</v>
      </c>
      <c r="E52" s="32">
        <f t="shared" si="18"/>
        <v>-6.811989100817438E-2</v>
      </c>
      <c r="F52" s="18">
        <f>IF(ISNUMBER(D52), $B64 * E52, "")</f>
        <v>-10217.983651226157</v>
      </c>
      <c r="G52" s="31">
        <v>36.9</v>
      </c>
      <c r="H52" s="32">
        <f t="shared" si="19"/>
        <v>5.4495912806538345E-3</v>
      </c>
      <c r="I52" s="97">
        <f>IF(ISNUMBER(G52), $B64 * H52, "")</f>
        <v>817.43869209807519</v>
      </c>
      <c r="J52" s="15">
        <v>35.9</v>
      </c>
      <c r="K52" s="32">
        <f t="shared" si="20"/>
        <v>-2.1798365122615918E-2</v>
      </c>
      <c r="L52" s="18">
        <f>IF(ISNUMBER(J52), $B64 * K52, "")</f>
        <v>-3269.7547683923876</v>
      </c>
      <c r="M52" s="31">
        <v>35.9</v>
      </c>
      <c r="N52" s="32">
        <f t="shared" si="21"/>
        <v>-2.1798365122615918E-2</v>
      </c>
      <c r="O52" s="18">
        <f>IF(ISNUMBER(M52), $B64 * N52, "")</f>
        <v>-3269.7547683923876</v>
      </c>
      <c r="Q52" s="33"/>
      <c r="R52" s="33"/>
    </row>
    <row r="53" spans="1:19" ht="17.25" customHeight="1" thickBot="1">
      <c r="A53" s="129" t="s">
        <v>198</v>
      </c>
      <c r="B53" s="130">
        <v>26.3</v>
      </c>
      <c r="C53" s="75">
        <v>-2.5925925900000001E-2</v>
      </c>
      <c r="D53" s="24">
        <v>24.9</v>
      </c>
      <c r="E53" s="25">
        <f t="shared" si="18"/>
        <v>-5.3231939163498179E-2</v>
      </c>
      <c r="F53" s="100">
        <f>IF(ISNUMBER(D53), $B64 * E53, "")</f>
        <v>-7984.7908745247269</v>
      </c>
      <c r="G53" s="98">
        <v>26.3</v>
      </c>
      <c r="H53" s="25">
        <f t="shared" si="19"/>
        <v>0</v>
      </c>
      <c r="I53" s="99">
        <f>IF(ISNUMBER(G53), $B64 * H53, "")</f>
        <v>0</v>
      </c>
      <c r="J53" s="24">
        <v>26.4</v>
      </c>
      <c r="K53" s="25">
        <f t="shared" si="20"/>
        <v>3.8022813688212117E-3</v>
      </c>
      <c r="L53" s="100">
        <f>IF(ISNUMBER(J53), $B64 * K53, "")</f>
        <v>570.3422053231817</v>
      </c>
      <c r="M53" s="98">
        <v>26.3</v>
      </c>
      <c r="N53" s="25">
        <f t="shared" si="21"/>
        <v>0</v>
      </c>
      <c r="O53" s="100">
        <f>IF(ISNUMBER(M53), $B64 * N53, "")</f>
        <v>0</v>
      </c>
      <c r="Q53" s="284"/>
      <c r="R53" s="285"/>
      <c r="S53" s="286"/>
    </row>
    <row r="54" spans="1:19" ht="17.25" customHeight="1">
      <c r="A54" s="122" t="s">
        <v>186</v>
      </c>
      <c r="B54" s="123">
        <v>23.8</v>
      </c>
      <c r="C54" s="72">
        <v>-2.85714286E-2</v>
      </c>
      <c r="D54" s="13">
        <v>23.1</v>
      </c>
      <c r="E54" s="14">
        <f>IF(ISNUMBER(D54), (D54 - $B54) / $B54, "")</f>
        <v>-2.9411764705882321E-2</v>
      </c>
      <c r="F54" s="16">
        <f>IF(ISNUMBER(D54), $B64 * E54, "")</f>
        <v>-4411.7647058823486</v>
      </c>
      <c r="G54" s="29">
        <v>23.7</v>
      </c>
      <c r="H54" s="14">
        <f>IF(ISNUMBER(G54), (G54 - $B54) / $B54, "")</f>
        <v>-4.2016806722689672E-3</v>
      </c>
      <c r="I54" s="96">
        <f>IF(ISNUMBER(G54), $B64 * H54, "")</f>
        <v>-630.25210084034507</v>
      </c>
      <c r="J54" s="13">
        <v>24</v>
      </c>
      <c r="K54" s="14">
        <f>IF(ISNUMBER(J54), (J54 - $B54) / $B54, "")</f>
        <v>8.4033613445377853E-3</v>
      </c>
      <c r="L54" s="16">
        <f>IF(ISNUMBER(J54), $B64 * K54, "")</f>
        <v>1260.5042016806678</v>
      </c>
      <c r="M54" s="29">
        <v>23.8</v>
      </c>
      <c r="N54" s="14">
        <f>IF(ISNUMBER(M54), (M54 - $B54) / $B54, "")</f>
        <v>0</v>
      </c>
      <c r="O54" s="16">
        <f>IF(ISNUMBER(M54), $B64 * N54, "")</f>
        <v>0</v>
      </c>
      <c r="Q54" s="287"/>
      <c r="R54" s="288"/>
      <c r="S54" s="289"/>
    </row>
    <row r="55" spans="1:19" ht="17.25" customHeight="1" thickBot="1">
      <c r="A55" s="124" t="s">
        <v>268</v>
      </c>
      <c r="B55" s="125">
        <v>87</v>
      </c>
      <c r="C55" s="73">
        <v>-3.1180400899999999E-2</v>
      </c>
      <c r="D55" s="15">
        <v>81.8</v>
      </c>
      <c r="E55" s="32">
        <f t="shared" ref="E55:E58" si="22">IF(ISNUMBER(D55), (D55 - $B55) / $B55, "")</f>
        <v>-5.9770114942528769E-2</v>
      </c>
      <c r="F55" s="18">
        <f>IF(ISNUMBER(D55), $B64 * E55, "")</f>
        <v>-8965.5172413793152</v>
      </c>
      <c r="G55" s="31">
        <v>89.3</v>
      </c>
      <c r="H55" s="32">
        <f t="shared" ref="H55:H58" si="23">IF(ISNUMBER(G55), (G55 - $B55) / $B55, "")</f>
        <v>2.6436781609195371E-2</v>
      </c>
      <c r="I55" s="97">
        <f>IF(ISNUMBER(G55), $B64 * H55, "")</f>
        <v>3965.5172413793057</v>
      </c>
      <c r="J55" s="15">
        <v>93.3</v>
      </c>
      <c r="K55" s="32">
        <f t="shared" ref="K55:K58" si="24">IF(ISNUMBER(J55), (J55 - $B55) / $B55, "")</f>
        <v>7.241379310344824E-2</v>
      </c>
      <c r="L55" s="18">
        <f>IF(ISNUMBER(J55), $B64 * K55, "")</f>
        <v>10862.068965517235</v>
      </c>
      <c r="M55" s="31">
        <v>89.4</v>
      </c>
      <c r="N55" s="32">
        <f t="shared" ref="N55:N58" si="25">IF(ISNUMBER(M55), (M55 - $B55) / $B55, "")</f>
        <v>2.758620689655179E-2</v>
      </c>
      <c r="O55" s="18">
        <f>IF(ISNUMBER(M55), $B64 * N55, "")</f>
        <v>4137.9310344827682</v>
      </c>
      <c r="Q55" s="290"/>
      <c r="R55" s="291"/>
      <c r="S55" s="292"/>
    </row>
    <row r="56" spans="1:19" ht="17.25" customHeight="1" thickBot="1">
      <c r="A56" s="124" t="s">
        <v>214</v>
      </c>
      <c r="B56" s="125">
        <v>20.3</v>
      </c>
      <c r="C56" s="73">
        <v>-3.3333333299999997E-2</v>
      </c>
      <c r="D56" s="15">
        <v>19.100000000000001</v>
      </c>
      <c r="E56" s="32">
        <f t="shared" si="22"/>
        <v>-5.91133004926108E-2</v>
      </c>
      <c r="F56" s="18">
        <f>IF(ISNUMBER(D56), $B64 * E56, "")</f>
        <v>-8866.9950738916195</v>
      </c>
      <c r="G56" s="31">
        <v>21.1</v>
      </c>
      <c r="H56" s="32">
        <f t="shared" si="23"/>
        <v>3.9408866995073927E-2</v>
      </c>
      <c r="I56" s="97">
        <f>IF(ISNUMBER(G56), $B64 * H56, "")</f>
        <v>5911.3300492610888</v>
      </c>
      <c r="J56" s="15">
        <v>22.8</v>
      </c>
      <c r="K56" s="32">
        <f t="shared" si="24"/>
        <v>0.12315270935960591</v>
      </c>
      <c r="L56" s="18">
        <f>IF(ISNUMBER(J56), $B64 * K56, "")</f>
        <v>18472.906403940888</v>
      </c>
      <c r="M56" s="31">
        <v>22.1</v>
      </c>
      <c r="N56" s="32">
        <f t="shared" si="25"/>
        <v>8.8669950738916287E-2</v>
      </c>
      <c r="O56" s="18">
        <f>IF(ISNUMBER(M56), $B64 * N56, "")</f>
        <v>13300.492610837444</v>
      </c>
      <c r="Q56" s="275"/>
      <c r="R56" s="275"/>
      <c r="S56" s="275"/>
    </row>
    <row r="57" spans="1:19" ht="17.25" customHeight="1" thickBot="1">
      <c r="A57" s="124" t="s">
        <v>236</v>
      </c>
      <c r="B57" s="125">
        <v>63.5</v>
      </c>
      <c r="C57" s="73">
        <v>-3.4954407299999997E-2</v>
      </c>
      <c r="D57" s="15">
        <v>65.5</v>
      </c>
      <c r="E57" s="32">
        <f t="shared" si="22"/>
        <v>3.1496062992125984E-2</v>
      </c>
      <c r="F57" s="18">
        <f>IF(ISNUMBER(D57), $B64 * E57, "")</f>
        <v>4724.4094488188975</v>
      </c>
      <c r="G57" s="31">
        <v>85.8</v>
      </c>
      <c r="H57" s="32">
        <f t="shared" si="23"/>
        <v>0.35118110236220468</v>
      </c>
      <c r="I57" s="97">
        <f>IF(ISNUMBER(G57), $B64 * H57, "")</f>
        <v>52677.165354330704</v>
      </c>
      <c r="J57" s="15">
        <v>95.8</v>
      </c>
      <c r="K57" s="32">
        <f t="shared" si="24"/>
        <v>0.50866141732283465</v>
      </c>
      <c r="L57" s="18">
        <f>IF(ISNUMBER(J57), $B64 * K57, "")</f>
        <v>76299.212598425191</v>
      </c>
      <c r="M57" s="31">
        <v>99.4</v>
      </c>
      <c r="N57" s="32">
        <f t="shared" si="25"/>
        <v>0.56535433070866148</v>
      </c>
      <c r="O57" s="18">
        <f>IF(ISNUMBER(M57), $B64 * N57, "")</f>
        <v>84803.149606299223</v>
      </c>
      <c r="Q57" s="270"/>
      <c r="R57" s="270"/>
      <c r="S57" s="270"/>
    </row>
    <row r="58" spans="1:19" ht="17.25" customHeight="1" thickBot="1">
      <c r="A58" s="126" t="s">
        <v>266</v>
      </c>
      <c r="B58" s="127">
        <v>90.8</v>
      </c>
      <c r="C58" s="74">
        <v>-3.8135593199999998E-2</v>
      </c>
      <c r="D58" s="20">
        <v>89.9</v>
      </c>
      <c r="E58" s="21">
        <f t="shared" si="22"/>
        <v>-9.9118942731276603E-3</v>
      </c>
      <c r="F58" s="22">
        <f>IF(ISNUMBER(D58), $B64 * E58, "")</f>
        <v>-1486.7841409691491</v>
      </c>
      <c r="G58" s="30">
        <v>92</v>
      </c>
      <c r="H58" s="21">
        <f t="shared" si="23"/>
        <v>1.3215859030837036E-2</v>
      </c>
      <c r="I58" s="101">
        <f>IF(ISNUMBER(G58), $B64 * H58, "")</f>
        <v>1982.3788546255555</v>
      </c>
      <c r="J58" s="20">
        <v>91.8</v>
      </c>
      <c r="K58" s="21">
        <f t="shared" si="24"/>
        <v>1.1013215859030838E-2</v>
      </c>
      <c r="L58" s="22">
        <f>IF(ISNUMBER(J58), $B64 * K58, "")</f>
        <v>1651.9823788546257</v>
      </c>
      <c r="M58" s="30">
        <v>92.3</v>
      </c>
      <c r="N58" s="21">
        <f t="shared" si="25"/>
        <v>1.6519823788546256E-2</v>
      </c>
      <c r="O58" s="22">
        <f>IF(ISNUMBER(M58), $B64 * N58, "")</f>
        <v>2477.9735682819382</v>
      </c>
      <c r="Q58" s="270"/>
      <c r="R58" s="270"/>
      <c r="S58" s="270"/>
    </row>
    <row r="59" spans="1:19" ht="17.25" customHeight="1" thickBot="1">
      <c r="A59" s="124" t="s">
        <v>154</v>
      </c>
      <c r="B59" s="128">
        <v>20.100000000000001</v>
      </c>
      <c r="C59" s="76">
        <v>-3.8277512E-2</v>
      </c>
      <c r="D59" s="102">
        <v>18.899999999999999</v>
      </c>
      <c r="E59" s="103">
        <f>IF(ISNUMBER(D59), (D59 - $B59) / $B59, "")</f>
        <v>-5.970149253731357E-2</v>
      </c>
      <c r="F59" s="104">
        <f>IF(ISNUMBER(D59), $B64 * E59, "")</f>
        <v>-8955.2238805970355</v>
      </c>
      <c r="G59" s="105">
        <v>20</v>
      </c>
      <c r="H59" s="103">
        <f>IF(ISNUMBER(G59), (G59 - $B59) / $B59, "")</f>
        <v>-4.9751243781095229E-3</v>
      </c>
      <c r="I59" s="106">
        <f>IF(ISNUMBER(G59), $B64 * H59, "")</f>
        <v>-746.26865671642838</v>
      </c>
      <c r="J59" s="102">
        <v>20.2</v>
      </c>
      <c r="K59" s="103">
        <f>IF(ISNUMBER(J59), (J59 - $B59) / $B59, "")</f>
        <v>4.975124378109346E-3</v>
      </c>
      <c r="L59" s="104">
        <f>IF(ISNUMBER(J59), $B64 * K59, "")</f>
        <v>746.26865671640189</v>
      </c>
      <c r="M59" s="105">
        <v>20</v>
      </c>
      <c r="N59" s="103">
        <f>IF(ISNUMBER(M59), (M59 - $B59) / $B59, "")</f>
        <v>-4.9751243781095229E-3</v>
      </c>
      <c r="O59" s="104">
        <f>IF(ISNUMBER(M59), $B64 * N59, "")</f>
        <v>-746.26865671642838</v>
      </c>
      <c r="Q59" s="275"/>
      <c r="R59" s="275"/>
      <c r="S59" s="275"/>
    </row>
    <row r="60" spans="1:19" ht="17.25" customHeight="1" thickBot="1">
      <c r="A60" s="124" t="s">
        <v>152</v>
      </c>
      <c r="B60" s="125">
        <v>46.4</v>
      </c>
      <c r="C60" s="73">
        <v>-3.9337474099999999E-2</v>
      </c>
      <c r="D60" s="15">
        <v>42.9</v>
      </c>
      <c r="E60" s="32">
        <f t="shared" ref="E60:E63" si="26">IF(ISNUMBER(D60), (D60 - $B60) / $B60, "")</f>
        <v>-7.5431034482758619E-2</v>
      </c>
      <c r="F60" s="18">
        <f>IF(ISNUMBER(D60), $B64 * E60, "")</f>
        <v>-11314.655172413793</v>
      </c>
      <c r="G60" s="31">
        <v>45</v>
      </c>
      <c r="H60" s="32">
        <f t="shared" ref="H60:H63" si="27">IF(ISNUMBER(G60), (G60 - $B60) / $B60, "")</f>
        <v>-3.0172413793103418E-2</v>
      </c>
      <c r="I60" s="97">
        <f>IF(ISNUMBER(G60), $B64 * H60, "")</f>
        <v>-4525.8620689655127</v>
      </c>
      <c r="J60" s="15">
        <v>44.7</v>
      </c>
      <c r="K60" s="32">
        <f t="shared" ref="K60:K63" si="28">IF(ISNUMBER(J60), (J60 - $B60) / $B60, "")</f>
        <v>-3.6637931034482665E-2</v>
      </c>
      <c r="L60" s="18">
        <f>IF(ISNUMBER(J60), $B64 * K60, "")</f>
        <v>-5495.6896551723994</v>
      </c>
      <c r="M60" s="31">
        <v>44.9</v>
      </c>
      <c r="N60" s="32">
        <f t="shared" ref="N60:N63" si="29">IF(ISNUMBER(M60), (M60 - $B60) / $B60, "")</f>
        <v>-3.2327586206896554E-2</v>
      </c>
      <c r="O60" s="18">
        <f>IF(ISNUMBER(M60), $B64 * N60, "")</f>
        <v>-4849.1379310344828</v>
      </c>
      <c r="Q60" s="275"/>
      <c r="R60" s="275"/>
      <c r="S60" s="275"/>
    </row>
    <row r="61" spans="1:19" ht="17.25" customHeight="1" thickBot="1">
      <c r="A61" s="124" t="s">
        <v>220</v>
      </c>
      <c r="B61" s="125">
        <v>19.5</v>
      </c>
      <c r="C61" s="73">
        <v>-3.9408867E-2</v>
      </c>
      <c r="D61" s="15">
        <v>18</v>
      </c>
      <c r="E61" s="32">
        <f t="shared" si="26"/>
        <v>-7.6923076923076927E-2</v>
      </c>
      <c r="F61" s="18">
        <f>IF(ISNUMBER(D61), $B64 * E61, "")</f>
        <v>-11538.461538461539</v>
      </c>
      <c r="G61" s="31">
        <v>19</v>
      </c>
      <c r="H61" s="32">
        <f t="shared" si="27"/>
        <v>-2.564102564102564E-2</v>
      </c>
      <c r="I61" s="97">
        <f>IF(ISNUMBER(G61), $B64 * H61, "")</f>
        <v>-3846.1538461538462</v>
      </c>
      <c r="J61" s="15">
        <v>19.100000000000001</v>
      </c>
      <c r="K61" s="32">
        <f t="shared" si="28"/>
        <v>-2.051282051282044E-2</v>
      </c>
      <c r="L61" s="18">
        <f>IF(ISNUMBER(J61), $B64 * K61, "")</f>
        <v>-3076.9230769230662</v>
      </c>
      <c r="M61" s="31">
        <v>18.899999999999999</v>
      </c>
      <c r="N61" s="32">
        <f t="shared" si="29"/>
        <v>-3.0769230769230844E-2</v>
      </c>
      <c r="O61" s="18">
        <f>IF(ISNUMBER(M61), $B64 * N61, "")</f>
        <v>-4615.3846153846262</v>
      </c>
      <c r="Q61" s="275"/>
      <c r="R61" s="275"/>
      <c r="S61" s="275"/>
    </row>
    <row r="62" spans="1:19" ht="17.25" customHeight="1">
      <c r="A62" s="124" t="s">
        <v>100</v>
      </c>
      <c r="B62" s="125">
        <v>8.66</v>
      </c>
      <c r="C62" s="73">
        <v>-3.9911308200000002E-2</v>
      </c>
      <c r="D62" s="15">
        <v>8.17</v>
      </c>
      <c r="E62" s="32">
        <f t="shared" si="26"/>
        <v>-5.6581986143187088E-2</v>
      </c>
      <c r="F62" s="18">
        <f>IF(ISNUMBER(D62), $B64 * E62, "")</f>
        <v>-8487.2979214780626</v>
      </c>
      <c r="G62" s="31">
        <v>8.3000000000000007</v>
      </c>
      <c r="H62" s="32">
        <f t="shared" si="27"/>
        <v>-4.1570438799076147E-2</v>
      </c>
      <c r="I62" s="97">
        <f>IF(ISNUMBER(G62), $B64 * H62, "")</f>
        <v>-6235.5658198614219</v>
      </c>
      <c r="J62" s="15">
        <v>8.2799999999999994</v>
      </c>
      <c r="K62" s="32">
        <f t="shared" si="28"/>
        <v>-4.3879907621247202E-2</v>
      </c>
      <c r="L62" s="18">
        <f>IF(ISNUMBER(J62), $B64 * K62, "")</f>
        <v>-6581.9861431870804</v>
      </c>
      <c r="M62" s="31">
        <v>8.2899999999999991</v>
      </c>
      <c r="N62" s="32">
        <f t="shared" si="29"/>
        <v>-4.2725173210161775E-2</v>
      </c>
      <c r="O62" s="18">
        <f>IF(ISNUMBER(M62), $B64 * N62, "")</f>
        <v>-6408.7759815242662</v>
      </c>
      <c r="Q62" s="297"/>
      <c r="R62" s="298"/>
      <c r="S62" s="299"/>
    </row>
    <row r="63" spans="1:19" ht="17.25" customHeight="1" thickBot="1">
      <c r="A63" s="129"/>
      <c r="B63" s="130"/>
      <c r="C63" s="75"/>
      <c r="D63" s="24"/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00"/>
      <c r="R63" s="301"/>
      <c r="S63" s="302"/>
    </row>
    <row r="64" spans="1:19" ht="17.25" customHeight="1" thickBot="1">
      <c r="A64" s="131" t="s">
        <v>301</v>
      </c>
      <c r="B64" s="308">
        <f>$B$37</f>
        <v>150000</v>
      </c>
      <c r="C64" s="309"/>
      <c r="D64" s="26" t="s">
        <v>302</v>
      </c>
      <c r="E64" s="27">
        <f>IF(COUNT(E44:E63), SUM(E44:E63) / COUNT(E44:E63), 0)</f>
        <v>-5.0332527866735768E-2</v>
      </c>
      <c r="F64" s="28">
        <f>SUM(F44:F63)</f>
        <v>-143447.70442019694</v>
      </c>
      <c r="G64" s="26" t="s">
        <v>302</v>
      </c>
      <c r="H64" s="27">
        <f>IF(COUNT(H44:H63), SUM(H44:H63) / COUNT(H44:H63), 0)</f>
        <v>1.8762102218474824E-2</v>
      </c>
      <c r="I64" s="28">
        <f>SUM(I44:I63)</f>
        <v>53471.991322653252</v>
      </c>
      <c r="J64" s="26" t="s">
        <v>302</v>
      </c>
      <c r="K64" s="27">
        <f>IF(COUNT(K44:K63), SUM(K44:K63) / COUNT(K44:K63), 0)</f>
        <v>3.9033730503513053E-2</v>
      </c>
      <c r="L64" s="28">
        <f>SUM(L44:L63)</f>
        <v>111246.13193501218</v>
      </c>
      <c r="M64" s="26" t="s">
        <v>302</v>
      </c>
      <c r="N64" s="27">
        <f>IF(COUNT(N44:N63), SUM(N44:N63) / COUNT(N44:N63), 0)</f>
        <v>3.3938898284602684E-2</v>
      </c>
      <c r="O64" s="28">
        <f>SUM(O44:O63)</f>
        <v>96725.860111117683</v>
      </c>
      <c r="Q64" s="303"/>
      <c r="R64" s="304"/>
      <c r="S64" s="305"/>
    </row>
    <row r="65" spans="1:19" ht="17.25" customHeight="1"/>
    <row r="66" spans="1:19" ht="17.25" customHeight="1" thickBot="1"/>
    <row r="67" spans="1:19" ht="17.25" thickBot="1">
      <c r="A67" s="249" t="s">
        <v>45</v>
      </c>
      <c r="B67" s="250"/>
      <c r="C67" s="250"/>
      <c r="D67" s="250"/>
      <c r="E67" s="250"/>
      <c r="F67" s="250"/>
      <c r="G67" s="250"/>
      <c r="H67" s="250"/>
      <c r="I67" s="250"/>
      <c r="J67" s="250"/>
      <c r="K67" s="250"/>
      <c r="L67" s="250"/>
      <c r="M67" s="250"/>
      <c r="N67" s="250"/>
      <c r="O67" s="251"/>
      <c r="Q67" s="270"/>
      <c r="R67" s="270"/>
      <c r="S67" s="270"/>
    </row>
    <row r="68" spans="1:19" ht="17.25" thickBot="1">
      <c r="A68" s="186" t="s">
        <v>298</v>
      </c>
      <c r="B68" s="249" t="s">
        <v>49</v>
      </c>
      <c r="C68" s="251"/>
      <c r="D68" s="249" t="s">
        <v>58</v>
      </c>
      <c r="E68" s="250"/>
      <c r="F68" s="251"/>
      <c r="G68" s="276">
        <f>_xlfn.IFNA(VLOOKUP(B68, 현재가테이블!$B$2:$D$200, 2, FALSE), "-")</f>
        <v>60874000</v>
      </c>
      <c r="H68" s="277"/>
      <c r="I68" s="278"/>
      <c r="J68" s="249" t="s">
        <v>59</v>
      </c>
      <c r="K68" s="250"/>
      <c r="L68" s="251"/>
      <c r="M68" s="279">
        <f>_xlfn.IFNA(VLOOKUP(B68, 현재가테이블!$B$2:$D$200, 3, FALSE), "-")</f>
        <v>-1.4936000099999999E-2</v>
      </c>
      <c r="N68" s="280"/>
      <c r="O68" s="281"/>
      <c r="Q68" s="270"/>
      <c r="R68" s="270"/>
      <c r="S68" s="270"/>
    </row>
    <row r="69" spans="1:19" ht="17.25" thickBot="1">
      <c r="A69" s="310" t="s">
        <v>55</v>
      </c>
      <c r="B69" s="312" t="str">
        <f>TEXT($G$1, "[$-ko-KR]yyyy-mm-dd(ddd) ") &amp; "오전 00:00"</f>
        <v>2021-05-11(화) 오전 00:00</v>
      </c>
      <c r="C69" s="313"/>
      <c r="D69" s="272" t="str">
        <f>TEXT($G$1, "[$-ko-KR]yyyy-mm-dd(ddd) ") &amp; "오후 14:00"</f>
        <v>2021-05-11(화) 오후 14:00</v>
      </c>
      <c r="E69" s="273"/>
      <c r="F69" s="274"/>
      <c r="G69" s="272" t="str">
        <f>TEXT($G$1, "[$-ko-KR]yyyy-mm-dd(ddd) ") &amp; "오후 19:00"</f>
        <v>2021-05-11(화) 오후 19:00</v>
      </c>
      <c r="H69" s="273"/>
      <c r="I69" s="274"/>
      <c r="J69" s="272" t="str">
        <f>TEXT($G$1, "[$-ko-KR]yyyy-mm-dd(ddd) ") &amp; "오후 21:00"</f>
        <v>2021-05-11(화) 오후 21:00</v>
      </c>
      <c r="K69" s="273"/>
      <c r="L69" s="274"/>
      <c r="M69" s="272" t="str">
        <f>TEXT($G$1+1, "[$-ko-KR]yyyy-mm-dd(ddd) ") &amp; "오전 00:00"</f>
        <v>2021-05-12(수) 오전 00:00</v>
      </c>
      <c r="N69" s="273"/>
      <c r="O69" s="274"/>
      <c r="Q69" s="270"/>
      <c r="R69" s="270"/>
      <c r="S69" s="270"/>
    </row>
    <row r="70" spans="1:19" ht="17.25" thickBot="1">
      <c r="A70" s="311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92" t="s">
        <v>58</v>
      </c>
      <c r="H70" s="193" t="s">
        <v>299</v>
      </c>
      <c r="I70" s="19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75"/>
      <c r="R70" s="275"/>
      <c r="S70" s="275"/>
    </row>
    <row r="71" spans="1:19" ht="17.25" thickBot="1">
      <c r="A71" s="122" t="s">
        <v>51</v>
      </c>
      <c r="B71" s="123">
        <v>900</v>
      </c>
      <c r="C71" s="72">
        <v>0.16883116879999999</v>
      </c>
      <c r="D71" s="13">
        <v>800</v>
      </c>
      <c r="E71" s="14">
        <f>IF(ISNUMBER(D71), (D71 - $B71) / $B71, "")</f>
        <v>-0.1111111111111111</v>
      </c>
      <c r="F71" s="16">
        <f>IF(ISNUMBER(D71), $B91 * E71, "")</f>
        <v>-16666.666666666664</v>
      </c>
      <c r="G71" s="29">
        <v>802</v>
      </c>
      <c r="H71" s="14">
        <f>IF(ISNUMBER(G71), (G71 - $B71) / $B71, "")</f>
        <v>-0.10888888888888888</v>
      </c>
      <c r="I71" s="96">
        <f>IF(ISNUMBER(G71), $B91 * H71, "")</f>
        <v>-16333.333333333332</v>
      </c>
      <c r="J71" s="13">
        <v>798</v>
      </c>
      <c r="K71" s="14">
        <f>IF(ISNUMBER(J71), (J71 - $B71) / $B71, "")</f>
        <v>-0.11333333333333333</v>
      </c>
      <c r="L71" s="16">
        <f>IF(ISNUMBER(J71), $B91 * K71, "")</f>
        <v>-17000</v>
      </c>
      <c r="M71" s="29">
        <v>813</v>
      </c>
      <c r="N71" s="14">
        <f>IF(ISNUMBER(M71), (M71 - $B71) / $B71, "")</f>
        <v>-9.6666666666666665E-2</v>
      </c>
      <c r="O71" s="16">
        <f>IF(ISNUMBER(M71), $B91 * N71, "")</f>
        <v>-14500</v>
      </c>
      <c r="Q71" s="270"/>
      <c r="R71" s="270"/>
      <c r="S71" s="270"/>
    </row>
    <row r="72" spans="1:19" ht="17.25" thickBot="1">
      <c r="A72" s="124" t="s">
        <v>260</v>
      </c>
      <c r="B72" s="125">
        <v>128</v>
      </c>
      <c r="C72" s="73">
        <v>0.1034482759</v>
      </c>
      <c r="D72" s="15">
        <v>120</v>
      </c>
      <c r="E72" s="32">
        <f t="shared" ref="E72:E75" si="30">IF(ISNUMBER(D72), (D72 - $B72) / $B72, "")</f>
        <v>-6.25E-2</v>
      </c>
      <c r="F72" s="18">
        <f>IF(ISNUMBER(D72), $B91 * E72, "")</f>
        <v>-9375</v>
      </c>
      <c r="G72" s="31">
        <v>121</v>
      </c>
      <c r="H72" s="32">
        <f t="shared" ref="H72:H75" si="31">IF(ISNUMBER(G72), (G72 - $B72) / $B72, "")</f>
        <v>-5.46875E-2</v>
      </c>
      <c r="I72" s="97">
        <f>IF(ISNUMBER(G72), $B91 * H72, "")</f>
        <v>-8203.125</v>
      </c>
      <c r="J72" s="15">
        <v>126</v>
      </c>
      <c r="K72" s="32">
        <f t="shared" ref="K72:K75" si="32">IF(ISNUMBER(J72), (J72 - $B72) / $B72, "")</f>
        <v>-1.5625E-2</v>
      </c>
      <c r="L72" s="18">
        <f>IF(ISNUMBER(J72), $B91 * K72, "")</f>
        <v>-2343.75</v>
      </c>
      <c r="M72" s="31">
        <v>128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270"/>
      <c r="R72" s="270"/>
      <c r="S72" s="270"/>
    </row>
    <row r="73" spans="1:19" ht="17.25" thickBot="1">
      <c r="A73" s="124" t="s">
        <v>168</v>
      </c>
      <c r="B73" s="125">
        <v>255</v>
      </c>
      <c r="C73" s="73">
        <v>6.25E-2</v>
      </c>
      <c r="D73" s="15">
        <v>221</v>
      </c>
      <c r="E73" s="32">
        <f t="shared" si="30"/>
        <v>-0.13333333333333333</v>
      </c>
      <c r="F73" s="18">
        <f>IF(ISNUMBER(D73), $B91 * E73, "")</f>
        <v>-20000</v>
      </c>
      <c r="G73" s="31">
        <v>227</v>
      </c>
      <c r="H73" s="32">
        <f t="shared" si="31"/>
        <v>-0.10980392156862745</v>
      </c>
      <c r="I73" s="97">
        <f>IF(ISNUMBER(G73), $B91 * H73, "")</f>
        <v>-16470.588235294119</v>
      </c>
      <c r="J73" s="15">
        <v>225</v>
      </c>
      <c r="K73" s="32">
        <f t="shared" si="32"/>
        <v>-0.11764705882352941</v>
      </c>
      <c r="L73" s="18">
        <f>IF(ISNUMBER(J73), $B91 * K73, "")</f>
        <v>-17647.058823529413</v>
      </c>
      <c r="M73" s="31">
        <v>226</v>
      </c>
      <c r="N73" s="32">
        <f t="shared" si="33"/>
        <v>-0.11372549019607843</v>
      </c>
      <c r="O73" s="18">
        <f>IF(ISNUMBER(M73), $B91 * N73, "")</f>
        <v>-17058.823529411766</v>
      </c>
      <c r="Q73" s="275"/>
      <c r="R73" s="275"/>
      <c r="S73" s="275"/>
    </row>
    <row r="74" spans="1:19" ht="17.25" thickBot="1">
      <c r="A74" s="124" t="s">
        <v>170</v>
      </c>
      <c r="B74" s="125">
        <v>571</v>
      </c>
      <c r="C74" s="73">
        <v>3.2549728799999997E-2</v>
      </c>
      <c r="D74" s="15">
        <v>509</v>
      </c>
      <c r="E74" s="32">
        <f t="shared" si="30"/>
        <v>-0.10858143607705779</v>
      </c>
      <c r="F74" s="18">
        <f>IF(ISNUMBER(D74), $B91 * E74, "")</f>
        <v>-16287.215411558669</v>
      </c>
      <c r="G74" s="31">
        <v>519</v>
      </c>
      <c r="H74" s="32">
        <f t="shared" si="31"/>
        <v>-9.106830122591944E-2</v>
      </c>
      <c r="I74" s="97">
        <f>IF(ISNUMBER(G74), $B91 * H74, "")</f>
        <v>-13660.245183887917</v>
      </c>
      <c r="J74" s="15">
        <v>525</v>
      </c>
      <c r="K74" s="32">
        <f t="shared" si="32"/>
        <v>-8.0560420315236428E-2</v>
      </c>
      <c r="L74" s="18">
        <f>IF(ISNUMBER(J74), $B91 * K74, "")</f>
        <v>-12084.063047285465</v>
      </c>
      <c r="M74" s="31">
        <v>521</v>
      </c>
      <c r="N74" s="32">
        <f t="shared" si="33"/>
        <v>-8.7565674255691769E-2</v>
      </c>
      <c r="O74" s="18">
        <f>IF(ISNUMBER(M74), $B91 * N74, "")</f>
        <v>-13134.851138353766</v>
      </c>
      <c r="Q74" s="275"/>
      <c r="R74" s="275"/>
      <c r="S74" s="275"/>
    </row>
    <row r="75" spans="1:19" ht="17.25" thickBot="1">
      <c r="A75" s="126" t="s">
        <v>216</v>
      </c>
      <c r="B75" s="127">
        <v>508</v>
      </c>
      <c r="C75" s="74">
        <v>9.9403579000000002E-3</v>
      </c>
      <c r="D75" s="20">
        <v>477</v>
      </c>
      <c r="E75" s="21">
        <f t="shared" si="30"/>
        <v>-6.1023622047244097E-2</v>
      </c>
      <c r="F75" s="22">
        <f>IF(ISNUMBER(D75), $B91 * E75, "")</f>
        <v>-9153.5433070866147</v>
      </c>
      <c r="G75" s="30">
        <v>508</v>
      </c>
      <c r="H75" s="21">
        <f t="shared" si="31"/>
        <v>0</v>
      </c>
      <c r="I75" s="101">
        <f>IF(ISNUMBER(G75), $B91 * H75, "")</f>
        <v>0</v>
      </c>
      <c r="J75" s="20">
        <v>499</v>
      </c>
      <c r="K75" s="21">
        <f t="shared" si="32"/>
        <v>-1.7716535433070866E-2</v>
      </c>
      <c r="L75" s="22">
        <f>IF(ISNUMBER(J75), $B91 * K75, "")</f>
        <v>-2657.48031496063</v>
      </c>
      <c r="M75" s="30">
        <v>482</v>
      </c>
      <c r="N75" s="21">
        <f t="shared" si="33"/>
        <v>-5.1181102362204724E-2</v>
      </c>
      <c r="O75" s="22">
        <f>IF(ISNUMBER(M75), $B91 * N75, "")</f>
        <v>-7677.1653543307084</v>
      </c>
      <c r="Q75" s="275"/>
      <c r="R75" s="275"/>
      <c r="S75" s="275"/>
    </row>
    <row r="76" spans="1:19" ht="17.25" thickBot="1">
      <c r="A76" s="124" t="s">
        <v>122</v>
      </c>
      <c r="B76" s="128">
        <v>115</v>
      </c>
      <c r="C76" s="76">
        <v>8.7719297999999998E-3</v>
      </c>
      <c r="D76" s="102">
        <v>107</v>
      </c>
      <c r="E76" s="103">
        <f>IF(ISNUMBER(D76), (D76 - $B76) / $B76, "")</f>
        <v>-6.9565217391304349E-2</v>
      </c>
      <c r="F76" s="104">
        <f>IF(ISNUMBER(D76), $B91 * E76, "")</f>
        <v>-10434.782608695652</v>
      </c>
      <c r="G76" s="105">
        <v>111</v>
      </c>
      <c r="H76" s="103">
        <f>IF(ISNUMBER(G76), (G76 - $B76) / $B76, "")</f>
        <v>-3.4782608695652174E-2</v>
      </c>
      <c r="I76" s="106">
        <f>IF(ISNUMBER(G76), $B91 * H76, "")</f>
        <v>-5217.391304347826</v>
      </c>
      <c r="J76" s="102">
        <v>112</v>
      </c>
      <c r="K76" s="103">
        <f>IF(ISNUMBER(J76), (J76 - $B76) / $B76, "")</f>
        <v>-2.6086956521739129E-2</v>
      </c>
      <c r="L76" s="104">
        <f>IF(ISNUMBER(J76), $B91 * K76, "")</f>
        <v>-3913.0434782608695</v>
      </c>
      <c r="M76" s="105">
        <v>113</v>
      </c>
      <c r="N76" s="103">
        <f>IF(ISNUMBER(M76), (M76 - $B76) / $B76, "")</f>
        <v>-1.7391304347826087E-2</v>
      </c>
      <c r="O76" s="104">
        <f>IF(ISNUMBER(M76), $B91 * N76, "")</f>
        <v>-2608.695652173913</v>
      </c>
      <c r="Q76" s="275"/>
      <c r="R76" s="275"/>
      <c r="S76" s="275"/>
    </row>
    <row r="77" spans="1:19" ht="17.25" thickBot="1">
      <c r="A77" s="124" t="s">
        <v>210</v>
      </c>
      <c r="B77" s="125">
        <v>181</v>
      </c>
      <c r="C77" s="73">
        <v>5.5555556000000004E-3</v>
      </c>
      <c r="D77" s="15">
        <v>170</v>
      </c>
      <c r="E77" s="32">
        <f t="shared" ref="E77:E80" si="34">IF(ISNUMBER(D77), (D77 - $B77) / $B77, "")</f>
        <v>-6.0773480662983423E-2</v>
      </c>
      <c r="F77" s="18">
        <f>IF(ISNUMBER(D77), $B91 * E77, "")</f>
        <v>-9116.022099447513</v>
      </c>
      <c r="G77" s="31">
        <v>177</v>
      </c>
      <c r="H77" s="32">
        <f t="shared" ref="H77:H80" si="35">IF(ISNUMBER(G77), (G77 - $B77) / $B77, "")</f>
        <v>-2.2099447513812154E-2</v>
      </c>
      <c r="I77" s="97">
        <f>IF(ISNUMBER(G77), $B91 * H77, "")</f>
        <v>-3314.917127071823</v>
      </c>
      <c r="J77" s="15">
        <v>180</v>
      </c>
      <c r="K77" s="32">
        <f t="shared" ref="K77:K80" si="36">IF(ISNUMBER(J77), (J77 - $B77) / $B77, "")</f>
        <v>-5.5248618784530384E-3</v>
      </c>
      <c r="L77" s="18">
        <f>IF(ISNUMBER(J77), $B91 * K77, "")</f>
        <v>-828.72928176795574</v>
      </c>
      <c r="M77" s="31">
        <v>180</v>
      </c>
      <c r="N77" s="32">
        <f t="shared" ref="N77:N80" si="37">IF(ISNUMBER(M77), (M77 - $B77) / $B77, "")</f>
        <v>-5.5248618784530384E-3</v>
      </c>
      <c r="O77" s="18">
        <f>IF(ISNUMBER(M77), $B91 * N77, "")</f>
        <v>-828.72928176795574</v>
      </c>
      <c r="Q77" s="275"/>
      <c r="R77" s="275"/>
      <c r="S77" s="275"/>
    </row>
    <row r="78" spans="1:19" ht="17.25" thickBot="1">
      <c r="A78" s="124" t="s">
        <v>57</v>
      </c>
      <c r="B78" s="125">
        <v>463</v>
      </c>
      <c r="C78" s="73">
        <v>2.1645022000000001E-3</v>
      </c>
      <c r="D78" s="15">
        <v>415</v>
      </c>
      <c r="E78" s="32">
        <f t="shared" si="34"/>
        <v>-0.10367170626349892</v>
      </c>
      <c r="F78" s="18">
        <f>IF(ISNUMBER(D78), $B91 * E78, "")</f>
        <v>-15550.755939524837</v>
      </c>
      <c r="G78" s="31">
        <v>429</v>
      </c>
      <c r="H78" s="32">
        <f t="shared" si="35"/>
        <v>-7.3434125269978404E-2</v>
      </c>
      <c r="I78" s="97">
        <f>IF(ISNUMBER(G78), $B91 * H78, "")</f>
        <v>-11015.118790496761</v>
      </c>
      <c r="J78" s="15">
        <v>424</v>
      </c>
      <c r="K78" s="32">
        <f t="shared" si="36"/>
        <v>-8.4233261339092869E-2</v>
      </c>
      <c r="L78" s="18">
        <f>IF(ISNUMBER(J78), $B91 * K78, "")</f>
        <v>-12634.989200863931</v>
      </c>
      <c r="M78" s="31">
        <v>427</v>
      </c>
      <c r="N78" s="32">
        <f t="shared" si="37"/>
        <v>-7.775377969762419E-2</v>
      </c>
      <c r="O78" s="18">
        <f>IF(ISNUMBER(M78), $B91 * N78, "")</f>
        <v>-11663.066954643629</v>
      </c>
      <c r="Q78" s="275"/>
      <c r="R78" s="275"/>
      <c r="S78" s="275"/>
    </row>
    <row r="79" spans="1:19" ht="17.25" thickBot="1">
      <c r="A79" s="124" t="s">
        <v>156</v>
      </c>
      <c r="B79" s="125">
        <v>175</v>
      </c>
      <c r="C79" s="73">
        <v>0</v>
      </c>
      <c r="D79" s="15">
        <v>158</v>
      </c>
      <c r="E79" s="32">
        <f t="shared" si="34"/>
        <v>-9.7142857142857142E-2</v>
      </c>
      <c r="F79" s="18">
        <f>IF(ISNUMBER(D79), $B91 * E79, "")</f>
        <v>-14571.428571428571</v>
      </c>
      <c r="G79" s="31">
        <v>165</v>
      </c>
      <c r="H79" s="32">
        <f t="shared" si="35"/>
        <v>-5.7142857142857141E-2</v>
      </c>
      <c r="I79" s="97">
        <f>IF(ISNUMBER(G79), $B91 * H79, "")</f>
        <v>-8571.4285714285706</v>
      </c>
      <c r="J79" s="15">
        <v>162</v>
      </c>
      <c r="K79" s="32">
        <f t="shared" si="36"/>
        <v>-7.4285714285714288E-2</v>
      </c>
      <c r="L79" s="18">
        <f>IF(ISNUMBER(J79), $B91 * K79, "")</f>
        <v>-11142.857142857143</v>
      </c>
      <c r="M79" s="31">
        <v>166</v>
      </c>
      <c r="N79" s="32">
        <f t="shared" si="37"/>
        <v>-5.1428571428571428E-2</v>
      </c>
      <c r="O79" s="18">
        <f>IF(ISNUMBER(M79), $B91 * N79, "")</f>
        <v>-7714.2857142857138</v>
      </c>
      <c r="Q79" s="33"/>
      <c r="R79" s="33"/>
    </row>
    <row r="80" spans="1:19" ht="17.25" thickBot="1">
      <c r="A80" s="129" t="s">
        <v>270</v>
      </c>
      <c r="B80" s="130">
        <v>598</v>
      </c>
      <c r="C80" s="75">
        <v>-4.9916804999999998E-3</v>
      </c>
      <c r="D80" s="24">
        <v>519</v>
      </c>
      <c r="E80" s="25">
        <f t="shared" si="34"/>
        <v>-0.13210702341137123</v>
      </c>
      <c r="F80" s="100">
        <f>IF(ISNUMBER(D80), $B91 * E80, "")</f>
        <v>-19816.053511705686</v>
      </c>
      <c r="G80" s="98">
        <v>536</v>
      </c>
      <c r="H80" s="25">
        <f t="shared" si="35"/>
        <v>-0.10367892976588629</v>
      </c>
      <c r="I80" s="99">
        <f>IF(ISNUMBER(G80), $B91 * H80, "")</f>
        <v>-15551.839464882944</v>
      </c>
      <c r="J80" s="24">
        <v>544</v>
      </c>
      <c r="K80" s="25">
        <f t="shared" si="36"/>
        <v>-9.0301003344481601E-2</v>
      </c>
      <c r="L80" s="100">
        <f>IF(ISNUMBER(J80), $B91 * K80, "")</f>
        <v>-13545.15050167224</v>
      </c>
      <c r="M80" s="98">
        <v>537</v>
      </c>
      <c r="N80" s="25">
        <f t="shared" si="37"/>
        <v>-0.1020066889632107</v>
      </c>
      <c r="O80" s="100">
        <f>IF(ISNUMBER(M80), $B91 * N80, "")</f>
        <v>-15301.003344481605</v>
      </c>
      <c r="Q80" s="284"/>
      <c r="R80" s="285"/>
      <c r="S80" s="286"/>
    </row>
    <row r="81" spans="1:19">
      <c r="A81" s="122" t="s">
        <v>148</v>
      </c>
      <c r="B81" s="123">
        <v>193</v>
      </c>
      <c r="C81" s="72">
        <v>-1.0256410299999999E-2</v>
      </c>
      <c r="D81" s="13">
        <v>185</v>
      </c>
      <c r="E81" s="14">
        <f>IF(ISNUMBER(D81), (D81 - $B81) / $B81, "")</f>
        <v>-4.145077720207254E-2</v>
      </c>
      <c r="F81" s="16">
        <f>IF(ISNUMBER(D81), $B91 * E81, "")</f>
        <v>-6217.6165803108806</v>
      </c>
      <c r="G81" s="29">
        <v>186</v>
      </c>
      <c r="H81" s="14">
        <f>IF(ISNUMBER(G81), (G81 - $B81) / $B81, "")</f>
        <v>-3.6269430051813469E-2</v>
      </c>
      <c r="I81" s="96">
        <f>IF(ISNUMBER(G81), $B91 * H81, "")</f>
        <v>-5440.4145077720204</v>
      </c>
      <c r="J81" s="13">
        <v>185</v>
      </c>
      <c r="K81" s="14">
        <f>IF(ISNUMBER(J81), (J81 - $B81) / $B81, "")</f>
        <v>-4.145077720207254E-2</v>
      </c>
      <c r="L81" s="16">
        <f>IF(ISNUMBER(J81), $B91 * K81, "")</f>
        <v>-6217.6165803108806</v>
      </c>
      <c r="M81" s="29">
        <v>184</v>
      </c>
      <c r="N81" s="14">
        <f>IF(ISNUMBER(M81), (M81 - $B81) / $B81, "")</f>
        <v>-4.6632124352331605E-2</v>
      </c>
      <c r="O81" s="16">
        <f>IF(ISNUMBER(M81), $B91 * N81, "")</f>
        <v>-6994.8186528497408</v>
      </c>
      <c r="Q81" s="287"/>
      <c r="R81" s="288"/>
      <c r="S81" s="289"/>
    </row>
    <row r="82" spans="1:19" ht="17.25" thickBot="1">
      <c r="A82" s="124" t="s">
        <v>120</v>
      </c>
      <c r="B82" s="125">
        <v>216</v>
      </c>
      <c r="C82" s="73">
        <v>-1.3698630099999999E-2</v>
      </c>
      <c r="D82" s="15">
        <v>196</v>
      </c>
      <c r="E82" s="32">
        <f t="shared" ref="E82:E85" si="38">IF(ISNUMBER(D82), (D82 - $B82) / $B82, "")</f>
        <v>-9.2592592592592587E-2</v>
      </c>
      <c r="F82" s="18">
        <f>IF(ISNUMBER(D82), $B91 * E82, "")</f>
        <v>-13888.888888888889</v>
      </c>
      <c r="G82" s="31">
        <v>205</v>
      </c>
      <c r="H82" s="32">
        <f t="shared" ref="H82:H85" si="39">IF(ISNUMBER(G82), (G82 - $B82) / $B82, "")</f>
        <v>-5.0925925925925923E-2</v>
      </c>
      <c r="I82" s="97">
        <f>IF(ISNUMBER(G82), $B91 * H82, "")</f>
        <v>-7638.8888888888887</v>
      </c>
      <c r="J82" s="15">
        <v>205</v>
      </c>
      <c r="K82" s="32">
        <f t="shared" ref="K82:K85" si="40">IF(ISNUMBER(J82), (J82 - $B82) / $B82, "")</f>
        <v>-5.0925925925925923E-2</v>
      </c>
      <c r="L82" s="18">
        <f>IF(ISNUMBER(J82), $B91 * K82, "")</f>
        <v>-7638.8888888888887</v>
      </c>
      <c r="M82" s="31">
        <v>209</v>
      </c>
      <c r="N82" s="32">
        <f t="shared" ref="N82:N85" si="41">IF(ISNUMBER(M82), (M82 - $B82) / $B82, "")</f>
        <v>-3.2407407407407406E-2</v>
      </c>
      <c r="O82" s="18">
        <f>IF(ISNUMBER(M82), $B91 * N82, "")</f>
        <v>-4861.1111111111104</v>
      </c>
      <c r="Q82" s="290"/>
      <c r="R82" s="291"/>
      <c r="S82" s="292"/>
    </row>
    <row r="83" spans="1:19" ht="17.25" thickBot="1">
      <c r="A83" s="124" t="s">
        <v>88</v>
      </c>
      <c r="B83" s="125">
        <v>586</v>
      </c>
      <c r="C83" s="73">
        <v>-1.51260504E-2</v>
      </c>
      <c r="D83" s="15">
        <v>550</v>
      </c>
      <c r="E83" s="32">
        <f t="shared" si="38"/>
        <v>-6.1433447098976107E-2</v>
      </c>
      <c r="F83" s="18">
        <f>IF(ISNUMBER(D83), $B91 * E83, "")</f>
        <v>-9215.0170648464155</v>
      </c>
      <c r="G83" s="31">
        <v>556</v>
      </c>
      <c r="H83" s="32">
        <f t="shared" si="39"/>
        <v>-5.1194539249146756E-2</v>
      </c>
      <c r="I83" s="97">
        <f>IF(ISNUMBER(G83), $B91 * H83, "")</f>
        <v>-7679.1808873720138</v>
      </c>
      <c r="J83" s="15">
        <v>553</v>
      </c>
      <c r="K83" s="32">
        <f t="shared" si="40"/>
        <v>-5.6313993174061432E-2</v>
      </c>
      <c r="L83" s="18">
        <f>IF(ISNUMBER(J83), $B91 * K83, "")</f>
        <v>-8447.0989761092151</v>
      </c>
      <c r="M83" s="31">
        <v>553</v>
      </c>
      <c r="N83" s="32">
        <f t="shared" si="41"/>
        <v>-5.6313993174061432E-2</v>
      </c>
      <c r="O83" s="18">
        <f>IF(ISNUMBER(M83), $B91 * N83, "")</f>
        <v>-8447.0989761092151</v>
      </c>
      <c r="Q83" s="275"/>
      <c r="R83" s="275"/>
      <c r="S83" s="275"/>
    </row>
    <row r="84" spans="1:19" ht="17.25" thickBot="1">
      <c r="A84" s="124" t="s">
        <v>278</v>
      </c>
      <c r="B84" s="125">
        <v>163</v>
      </c>
      <c r="C84" s="73">
        <v>-1.8072289200000001E-2</v>
      </c>
      <c r="D84" s="15">
        <v>148</v>
      </c>
      <c r="E84" s="32">
        <f t="shared" si="38"/>
        <v>-9.202453987730061E-2</v>
      </c>
      <c r="F84" s="18">
        <f>IF(ISNUMBER(D84), $B91 * E84, "")</f>
        <v>-13803.680981595091</v>
      </c>
      <c r="G84" s="31">
        <v>154</v>
      </c>
      <c r="H84" s="32">
        <f t="shared" si="39"/>
        <v>-5.5214723926380369E-2</v>
      </c>
      <c r="I84" s="97">
        <f>IF(ISNUMBER(G84), $B91 * H84, "")</f>
        <v>-8282.2085889570553</v>
      </c>
      <c r="J84" s="15">
        <v>153</v>
      </c>
      <c r="K84" s="32">
        <f t="shared" si="40"/>
        <v>-6.1349693251533742E-2</v>
      </c>
      <c r="L84" s="18">
        <f>IF(ISNUMBER(J84), $B91 * K84, "")</f>
        <v>-9202.4539877300613</v>
      </c>
      <c r="M84" s="31">
        <v>155</v>
      </c>
      <c r="N84" s="32">
        <f t="shared" si="41"/>
        <v>-4.9079754601226995E-2</v>
      </c>
      <c r="O84" s="18">
        <f>IF(ISNUMBER(M84), $B91 * N84, "")</f>
        <v>-7361.9631901840494</v>
      </c>
      <c r="Q84" s="270"/>
      <c r="R84" s="270"/>
      <c r="S84" s="270"/>
    </row>
    <row r="85" spans="1:19" ht="17.25" thickBot="1">
      <c r="A85" s="126" t="s">
        <v>136</v>
      </c>
      <c r="B85" s="127">
        <v>283</v>
      </c>
      <c r="C85" s="74">
        <v>-2.07612457E-2</v>
      </c>
      <c r="D85" s="20">
        <v>262</v>
      </c>
      <c r="E85" s="21">
        <f t="shared" si="38"/>
        <v>-7.4204946996466431E-2</v>
      </c>
      <c r="F85" s="22">
        <f>IF(ISNUMBER(D85), $B91 * E85, "")</f>
        <v>-11130.742049469965</v>
      </c>
      <c r="G85" s="30">
        <v>273</v>
      </c>
      <c r="H85" s="21">
        <f t="shared" si="39"/>
        <v>-3.5335689045936397E-2</v>
      </c>
      <c r="I85" s="101">
        <f>IF(ISNUMBER(G85), $B91 * H85, "")</f>
        <v>-5300.3533568904595</v>
      </c>
      <c r="J85" s="20">
        <v>268</v>
      </c>
      <c r="K85" s="21">
        <f t="shared" si="40"/>
        <v>-5.3003533568904596E-2</v>
      </c>
      <c r="L85" s="22">
        <f>IF(ISNUMBER(J85), $B91 * K85, "")</f>
        <v>-7950.5300353356897</v>
      </c>
      <c r="M85" s="30">
        <v>268</v>
      </c>
      <c r="N85" s="21">
        <f t="shared" si="41"/>
        <v>-5.3003533568904596E-2</v>
      </c>
      <c r="O85" s="22">
        <f>IF(ISNUMBER(M85), $B91 * N85, "")</f>
        <v>-7950.5300353356897</v>
      </c>
      <c r="Q85" s="270"/>
      <c r="R85" s="270"/>
      <c r="S85" s="270"/>
    </row>
    <row r="86" spans="1:19" ht="17.25" thickBot="1">
      <c r="A86" s="124" t="s">
        <v>282</v>
      </c>
      <c r="B86" s="128">
        <v>171</v>
      </c>
      <c r="C86" s="76">
        <v>-2.2857142899999999E-2</v>
      </c>
      <c r="D86" s="102">
        <v>159</v>
      </c>
      <c r="E86" s="103">
        <f>IF(ISNUMBER(D86), (D86 - $B86) / $B86, "")</f>
        <v>-7.0175438596491224E-2</v>
      </c>
      <c r="F86" s="104">
        <f>IF(ISNUMBER(D86), $B91 * E86, "")</f>
        <v>-10526.315789473683</v>
      </c>
      <c r="G86" s="105">
        <v>164</v>
      </c>
      <c r="H86" s="103">
        <f>IF(ISNUMBER(G86), (G86 - $B86) / $B86, "")</f>
        <v>-4.0935672514619881E-2</v>
      </c>
      <c r="I86" s="106">
        <f>IF(ISNUMBER(G86), $B91 * H86, "")</f>
        <v>-6140.3508771929819</v>
      </c>
      <c r="J86" s="102">
        <v>167</v>
      </c>
      <c r="K86" s="103">
        <f>IF(ISNUMBER(J86), (J86 - $B86) / $B86, "")</f>
        <v>-2.3391812865497075E-2</v>
      </c>
      <c r="L86" s="104">
        <f>IF(ISNUMBER(J86), $B91 * K86, "")</f>
        <v>-3508.7719298245611</v>
      </c>
      <c r="M86" s="105">
        <v>165</v>
      </c>
      <c r="N86" s="103">
        <f>IF(ISNUMBER(M86), (M86 - $B86) / $B86, "")</f>
        <v>-3.5087719298245612E-2</v>
      </c>
      <c r="O86" s="104">
        <f>IF(ISNUMBER(M86), $B91 * N86, "")</f>
        <v>-5263.1578947368416</v>
      </c>
      <c r="Q86" s="275"/>
      <c r="R86" s="275"/>
      <c r="S86" s="275"/>
    </row>
    <row r="87" spans="1:19" ht="17.25" thickBot="1">
      <c r="A87" s="124" t="s">
        <v>238</v>
      </c>
      <c r="B87" s="125">
        <v>277</v>
      </c>
      <c r="C87" s="73">
        <v>-2.4647887300000001E-2</v>
      </c>
      <c r="D87" s="15">
        <v>260</v>
      </c>
      <c r="E87" s="32">
        <f t="shared" ref="E87:E90" si="42">IF(ISNUMBER(D87), (D87 - $B87) / $B87, "")</f>
        <v>-6.1371841155234655E-2</v>
      </c>
      <c r="F87" s="18">
        <f>IF(ISNUMBER(D87), $B91 * E87, "")</f>
        <v>-9205.7761732851977</v>
      </c>
      <c r="G87" s="31">
        <v>273</v>
      </c>
      <c r="H87" s="32">
        <f t="shared" ref="H87:H90" si="43">IF(ISNUMBER(G87), (G87 - $B87) / $B87, "")</f>
        <v>-1.444043321299639E-2</v>
      </c>
      <c r="I87" s="97">
        <f>IF(ISNUMBER(G87), $B91 * H87, "")</f>
        <v>-2166.0649819494583</v>
      </c>
      <c r="J87" s="15">
        <v>274</v>
      </c>
      <c r="K87" s="32">
        <f t="shared" ref="K87:K90" si="44">IF(ISNUMBER(J87), (J87 - $B87) / $B87, "")</f>
        <v>-1.0830324909747292E-2</v>
      </c>
      <c r="L87" s="18">
        <f>IF(ISNUMBER(J87), $B91 * K87, "")</f>
        <v>-1624.5487364620938</v>
      </c>
      <c r="M87" s="31">
        <v>277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75"/>
      <c r="R87" s="275"/>
      <c r="S87" s="275"/>
    </row>
    <row r="88" spans="1:19" ht="17.25" thickBot="1">
      <c r="A88" s="124" t="s">
        <v>134</v>
      </c>
      <c r="B88" s="125">
        <v>153</v>
      </c>
      <c r="C88" s="73">
        <v>-2.5477706999999999E-2</v>
      </c>
      <c r="D88" s="15">
        <v>149</v>
      </c>
      <c r="E88" s="32">
        <f t="shared" si="42"/>
        <v>-2.6143790849673203E-2</v>
      </c>
      <c r="F88" s="18">
        <f>IF(ISNUMBER(D88), $B91 * E88, "")</f>
        <v>-3921.5686274509803</v>
      </c>
      <c r="G88" s="31">
        <v>160</v>
      </c>
      <c r="H88" s="32">
        <f t="shared" si="43"/>
        <v>4.5751633986928102E-2</v>
      </c>
      <c r="I88" s="97">
        <f>IF(ISNUMBER(G88), $B91 * H88, "")</f>
        <v>6862.745098039215</v>
      </c>
      <c r="J88" s="15">
        <v>155</v>
      </c>
      <c r="K88" s="32">
        <f t="shared" si="44"/>
        <v>1.3071895424836602E-2</v>
      </c>
      <c r="L88" s="18">
        <f>IF(ISNUMBER(J88), $B91 * K88, "")</f>
        <v>1960.7843137254902</v>
      </c>
      <c r="M88" s="31">
        <v>156</v>
      </c>
      <c r="N88" s="32">
        <f t="shared" si="45"/>
        <v>1.9607843137254902E-2</v>
      </c>
      <c r="O88" s="18">
        <f>IF(ISNUMBER(M88), $B91 * N88, "")</f>
        <v>2941.1764705882351</v>
      </c>
      <c r="Q88" s="275"/>
      <c r="R88" s="275"/>
      <c r="S88" s="275"/>
    </row>
    <row r="89" spans="1:19">
      <c r="A89" s="124" t="s">
        <v>174</v>
      </c>
      <c r="B89" s="125">
        <v>263</v>
      </c>
      <c r="C89" s="73">
        <v>-2.5925925900000001E-2</v>
      </c>
      <c r="D89" s="15">
        <v>252</v>
      </c>
      <c r="E89" s="32">
        <f t="shared" si="42"/>
        <v>-4.1825095057034217E-2</v>
      </c>
      <c r="F89" s="18">
        <f>IF(ISNUMBER(D89), $B91 * E89, "")</f>
        <v>-6273.764258555133</v>
      </c>
      <c r="G89" s="31">
        <v>256</v>
      </c>
      <c r="H89" s="32">
        <f t="shared" si="43"/>
        <v>-2.6615969581749048E-2</v>
      </c>
      <c r="I89" s="97">
        <f>IF(ISNUMBER(G89), $B91 * H89, "")</f>
        <v>-3992.3954372623571</v>
      </c>
      <c r="J89" s="15">
        <v>260</v>
      </c>
      <c r="K89" s="32">
        <f t="shared" si="44"/>
        <v>-1.1406844106463879E-2</v>
      </c>
      <c r="L89" s="18">
        <f>IF(ISNUMBER(J89), $B91 * K89, "")</f>
        <v>-1711.0266159695818</v>
      </c>
      <c r="M89" s="31">
        <v>260</v>
      </c>
      <c r="N89" s="32">
        <f t="shared" si="45"/>
        <v>-1.1406844106463879E-2</v>
      </c>
      <c r="O89" s="18">
        <f>IF(ISNUMBER(M89), $B91 * N89, "")</f>
        <v>-1711.0266159695818</v>
      </c>
      <c r="Q89" s="297"/>
      <c r="R89" s="298"/>
      <c r="S89" s="299"/>
    </row>
    <row r="90" spans="1:19" ht="17.25" thickBot="1">
      <c r="A90" s="129" t="s">
        <v>212</v>
      </c>
      <c r="B90" s="130">
        <v>142</v>
      </c>
      <c r="C90" s="75">
        <v>-2.73972603E-2</v>
      </c>
      <c r="D90" s="24">
        <v>135</v>
      </c>
      <c r="E90" s="25">
        <f t="shared" si="42"/>
        <v>-4.9295774647887321E-2</v>
      </c>
      <c r="F90" s="100">
        <f>IF(ISNUMBER(D90), $B91 * E90, "")</f>
        <v>-7394.3661971830979</v>
      </c>
      <c r="G90" s="98">
        <v>136</v>
      </c>
      <c r="H90" s="25">
        <f t="shared" si="43"/>
        <v>-4.2253521126760563E-2</v>
      </c>
      <c r="I90" s="99">
        <f>IF(ISNUMBER(G90), $B91 * H90, "")</f>
        <v>-6338.0281690140846</v>
      </c>
      <c r="J90" s="24">
        <v>140</v>
      </c>
      <c r="K90" s="25">
        <f t="shared" si="44"/>
        <v>-1.4084507042253521E-2</v>
      </c>
      <c r="L90" s="100">
        <f>IF(ISNUMBER(J90), $B91 * K90, "")</f>
        <v>-2112.676056338028</v>
      </c>
      <c r="M90" s="98">
        <v>139</v>
      </c>
      <c r="N90" s="25">
        <f t="shared" si="45"/>
        <v>-2.1126760563380281E-2</v>
      </c>
      <c r="O90" s="100">
        <f>IF(ISNUMBER(M90), $B91 * N90, "")</f>
        <v>-3169.0140845070423</v>
      </c>
      <c r="Q90" s="300"/>
      <c r="R90" s="301"/>
      <c r="S90" s="302"/>
    </row>
    <row r="91" spans="1:19" ht="17.25" thickBot="1">
      <c r="A91" s="131" t="s">
        <v>301</v>
      </c>
      <c r="B91" s="308">
        <f>$B$37</f>
        <v>150000</v>
      </c>
      <c r="C91" s="309"/>
      <c r="D91" s="26" t="s">
        <v>302</v>
      </c>
      <c r="E91" s="27">
        <f>IF(COUNT(E71:E90), SUM(E71:E90) / COUNT(E71:E90), 0)</f>
        <v>-7.7516401575724508E-2</v>
      </c>
      <c r="F91" s="28">
        <f>SUM(F71:F90)</f>
        <v>-232549.20472717355</v>
      </c>
      <c r="G91" s="26" t="s">
        <v>302</v>
      </c>
      <c r="H91" s="27">
        <f>IF(COUNT(H71:H90), SUM(H71:H90) / COUNT(H71:H90), 0)</f>
        <v>-4.815104253600113E-2</v>
      </c>
      <c r="I91" s="28">
        <f>SUM(I71:I90)</f>
        <v>-144453.12760800341</v>
      </c>
      <c r="J91" s="26" t="s">
        <v>302</v>
      </c>
      <c r="K91" s="27">
        <f>IF(COUNT(K71:K90), SUM(K71:K90) / COUNT(K71:K90), 0)</f>
        <v>-4.6749983094813721E-2</v>
      </c>
      <c r="L91" s="28">
        <f>SUM(L71:L90)</f>
        <v>-140249.94928444119</v>
      </c>
      <c r="M91" s="26" t="s">
        <v>302</v>
      </c>
      <c r="N91" s="27">
        <f>IF(COUNT(N71:N90), SUM(N71:N90) / COUNT(N71:N90), 0)</f>
        <v>-4.4434721686554698E-2</v>
      </c>
      <c r="O91" s="28">
        <f>SUM(O71:O90)</f>
        <v>-133304.16505966411</v>
      </c>
      <c r="Q91" s="303"/>
      <c r="R91" s="304"/>
      <c r="S91" s="305"/>
    </row>
    <row r="93" spans="1:19" ht="17.25" thickBot="1"/>
    <row r="94" spans="1:19" ht="17.25" thickBot="1">
      <c r="A94" s="249" t="s">
        <v>46</v>
      </c>
      <c r="B94" s="250"/>
      <c r="C94" s="250"/>
      <c r="D94" s="250"/>
      <c r="E94" s="250"/>
      <c r="F94" s="250"/>
      <c r="G94" s="250"/>
      <c r="H94" s="250"/>
      <c r="I94" s="250"/>
      <c r="J94" s="250"/>
      <c r="K94" s="250"/>
      <c r="L94" s="250"/>
      <c r="M94" s="250"/>
      <c r="N94" s="250"/>
      <c r="O94" s="251"/>
      <c r="Q94" s="270"/>
      <c r="R94" s="270"/>
      <c r="S94" s="270"/>
    </row>
    <row r="95" spans="1:19" ht="17.25" thickBot="1">
      <c r="A95" s="186" t="s">
        <v>298</v>
      </c>
      <c r="B95" s="249" t="s">
        <v>49</v>
      </c>
      <c r="C95" s="251"/>
      <c r="D95" s="249" t="s">
        <v>58</v>
      </c>
      <c r="E95" s="250"/>
      <c r="F95" s="251"/>
      <c r="G95" s="276">
        <f>_xlfn.IFNA(VLOOKUP(B95, 현재가테이블!$B$2:$D$200, 2, FALSE), "-")</f>
        <v>60874000</v>
      </c>
      <c r="H95" s="277"/>
      <c r="I95" s="278"/>
      <c r="J95" s="249" t="s">
        <v>59</v>
      </c>
      <c r="K95" s="250"/>
      <c r="L95" s="251"/>
      <c r="M95" s="279">
        <f>_xlfn.IFNA(VLOOKUP(B95, 현재가테이블!$B$2:$D$200, 3, FALSE), "-")</f>
        <v>-1.4936000099999999E-2</v>
      </c>
      <c r="N95" s="280"/>
      <c r="O95" s="281"/>
      <c r="Q95" s="270"/>
      <c r="R95" s="270"/>
      <c r="S95" s="270"/>
    </row>
    <row r="96" spans="1:19" ht="17.25" thickBot="1">
      <c r="A96" s="310" t="s">
        <v>55</v>
      </c>
      <c r="B96" s="312" t="str">
        <f>TEXT($G$1, "[$-ko-KR]yyyy-mm-dd(ddd) ") &amp; "오전 00:00"</f>
        <v>2021-05-11(화) 오전 00:00</v>
      </c>
      <c r="C96" s="313"/>
      <c r="D96" s="272" t="str">
        <f>TEXT($G$1, "[$-ko-KR]yyyy-mm-dd(ddd) ") &amp; "오후 14:00"</f>
        <v>2021-05-11(화) 오후 14:00</v>
      </c>
      <c r="E96" s="273"/>
      <c r="F96" s="274"/>
      <c r="G96" s="272" t="str">
        <f>TEXT($G$1, "[$-ko-KR]yyyy-mm-dd(ddd) ") &amp; "오후 19:00"</f>
        <v>2021-05-11(화) 오후 19:00</v>
      </c>
      <c r="H96" s="273"/>
      <c r="I96" s="274"/>
      <c r="J96" s="272" t="str">
        <f>TEXT($G$1, "[$-ko-KR]yyyy-mm-dd(ddd) ") &amp; "오후 21:00"</f>
        <v>2021-05-11(화) 오후 21:00</v>
      </c>
      <c r="K96" s="273"/>
      <c r="L96" s="274"/>
      <c r="M96" s="272" t="str">
        <f>TEXT($G$1+1, "[$-ko-KR]yyyy-mm-dd(ddd) ") &amp; "오전 00:00"</f>
        <v>2021-05-12(수) 오전 00:00</v>
      </c>
      <c r="N96" s="273"/>
      <c r="O96" s="274"/>
      <c r="Q96" s="270"/>
      <c r="R96" s="270"/>
      <c r="S96" s="270"/>
    </row>
    <row r="97" spans="1:19" ht="17.25" thickBot="1">
      <c r="A97" s="311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92" t="s">
        <v>58</v>
      </c>
      <c r="H97" s="193" t="s">
        <v>299</v>
      </c>
      <c r="I97" s="19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75"/>
      <c r="R97" s="275"/>
      <c r="S97" s="275"/>
    </row>
    <row r="98" spans="1:19" ht="17.25" thickBot="1">
      <c r="A98" s="122" t="s">
        <v>51</v>
      </c>
      <c r="B98" s="123">
        <v>900</v>
      </c>
      <c r="C98" s="72">
        <v>0.16883116879999999</v>
      </c>
      <c r="D98" s="13">
        <v>800</v>
      </c>
      <c r="E98" s="14">
        <f>IF(ISNUMBER(D98), (D98 - $B98) / $B98, "")</f>
        <v>-0.1111111111111111</v>
      </c>
      <c r="F98" s="16">
        <f>IF(ISNUMBER(D98), $B118 * E98, "")</f>
        <v>-16666.666666666664</v>
      </c>
      <c r="G98" s="29">
        <v>802</v>
      </c>
      <c r="H98" s="14">
        <f>IF(ISNUMBER(G98), (G98 - $B98) / $B98, "")</f>
        <v>-0.10888888888888888</v>
      </c>
      <c r="I98" s="96">
        <f>IF(ISNUMBER(G98), $B118 * H98, "")</f>
        <v>-16333.333333333332</v>
      </c>
      <c r="J98" s="13">
        <v>798</v>
      </c>
      <c r="K98" s="14">
        <f>IF(ISNUMBER(J98), (J98 - $B98) / $B98, "")</f>
        <v>-0.11333333333333333</v>
      </c>
      <c r="L98" s="16">
        <f>IF(ISNUMBER(J98), $B118 * K98, "")</f>
        <v>-17000</v>
      </c>
      <c r="M98" s="29">
        <v>813</v>
      </c>
      <c r="N98" s="14">
        <f>IF(ISNUMBER(M98), (M98 - $B98) / $B98, "")</f>
        <v>-9.6666666666666665E-2</v>
      </c>
      <c r="O98" s="16">
        <f>IF(ISNUMBER(M98), $B118 * N98, "")</f>
        <v>-14500</v>
      </c>
      <c r="Q98" s="270"/>
      <c r="R98" s="270"/>
      <c r="S98" s="270"/>
    </row>
    <row r="99" spans="1:19" ht="17.25" thickBot="1">
      <c r="A99" s="124" t="s">
        <v>260</v>
      </c>
      <c r="B99" s="125">
        <v>128</v>
      </c>
      <c r="C99" s="73">
        <v>0.1034482759</v>
      </c>
      <c r="D99" s="15">
        <v>120</v>
      </c>
      <c r="E99" s="32">
        <f t="shared" ref="E99:E102" si="46">IF(ISNUMBER(D99), (D99 - $B99) / $B99, "")</f>
        <v>-6.25E-2</v>
      </c>
      <c r="F99" s="18">
        <f>IF(ISNUMBER(D99), $B118 * E99, "")</f>
        <v>-9375</v>
      </c>
      <c r="G99" s="31">
        <v>121</v>
      </c>
      <c r="H99" s="32">
        <f t="shared" ref="H99:H102" si="47">IF(ISNUMBER(G99), (G99 - $B99) / $B99, "")</f>
        <v>-5.46875E-2</v>
      </c>
      <c r="I99" s="97">
        <f>IF(ISNUMBER(G99), $B118 * H99, "")</f>
        <v>-8203.125</v>
      </c>
      <c r="J99" s="15">
        <v>126</v>
      </c>
      <c r="K99" s="32">
        <f t="shared" ref="K99:K102" si="48">IF(ISNUMBER(J99), (J99 - $B99) / $B99, "")</f>
        <v>-1.5625E-2</v>
      </c>
      <c r="L99" s="18">
        <f>IF(ISNUMBER(J99), $B118 * K99, "")</f>
        <v>-2343.75</v>
      </c>
      <c r="M99" s="31">
        <v>128</v>
      </c>
      <c r="N99" s="32">
        <f t="shared" ref="N99:N102" si="49">IF(ISNUMBER(M99), (M99 - $B99) / $B99, "")</f>
        <v>0</v>
      </c>
      <c r="O99" s="18">
        <f>IF(ISNUMBER(M99), $B118 * N99, "")</f>
        <v>0</v>
      </c>
      <c r="Q99" s="270"/>
      <c r="R99" s="270"/>
      <c r="S99" s="270"/>
    </row>
    <row r="100" spans="1:19" ht="17.25" thickBot="1">
      <c r="A100" s="124" t="s">
        <v>164</v>
      </c>
      <c r="B100" s="125">
        <v>42550</v>
      </c>
      <c r="C100" s="73">
        <v>9.77812178E-2</v>
      </c>
      <c r="D100" s="15">
        <v>38220</v>
      </c>
      <c r="E100" s="32">
        <f t="shared" si="46"/>
        <v>-0.10176263219741481</v>
      </c>
      <c r="F100" s="18">
        <f>IF(ISNUMBER(D100), $B118 * E100, "")</f>
        <v>-15264.394829612222</v>
      </c>
      <c r="G100" s="31">
        <v>38970</v>
      </c>
      <c r="H100" s="32">
        <f t="shared" si="47"/>
        <v>-8.4136310223266744E-2</v>
      </c>
      <c r="I100" s="97">
        <f>IF(ISNUMBER(G100), $B118 * H100, "")</f>
        <v>-12620.446533490012</v>
      </c>
      <c r="J100" s="15">
        <v>42270</v>
      </c>
      <c r="K100" s="32">
        <f t="shared" si="48"/>
        <v>-6.5804935370152758E-3</v>
      </c>
      <c r="L100" s="18">
        <f>IF(ISNUMBER(J100), $B118 * K100, "")</f>
        <v>-987.07403055229133</v>
      </c>
      <c r="M100" s="31">
        <v>40140</v>
      </c>
      <c r="N100" s="32">
        <f t="shared" si="49"/>
        <v>-5.6639247943595768E-2</v>
      </c>
      <c r="O100" s="18">
        <f>IF(ISNUMBER(M100), $B118 * N100, "")</f>
        <v>-8495.8871915393647</v>
      </c>
      <c r="Q100" s="275"/>
      <c r="R100" s="275"/>
      <c r="S100" s="275"/>
    </row>
    <row r="101" spans="1:19" ht="17.25" thickBot="1">
      <c r="A101" s="124" t="s">
        <v>96</v>
      </c>
      <c r="B101" s="125">
        <v>5116000</v>
      </c>
      <c r="C101" s="73">
        <v>6.3175394800000007E-2</v>
      </c>
      <c r="D101" s="15">
        <v>4867000</v>
      </c>
      <c r="E101" s="32">
        <f t="shared" si="46"/>
        <v>-4.8670836591086786E-2</v>
      </c>
      <c r="F101" s="18">
        <f>IF(ISNUMBER(D101), $B118 * E101, "")</f>
        <v>-7300.6254886630177</v>
      </c>
      <c r="G101" s="31">
        <v>4987000</v>
      </c>
      <c r="H101" s="32">
        <f t="shared" si="47"/>
        <v>-2.5215011727912431E-2</v>
      </c>
      <c r="I101" s="97">
        <f>IF(ISNUMBER(G101), $B118 * H101, "")</f>
        <v>-3782.2517591868645</v>
      </c>
      <c r="J101" s="15">
        <v>4938000</v>
      </c>
      <c r="K101" s="32">
        <f t="shared" si="48"/>
        <v>-3.4792806880375296E-2</v>
      </c>
      <c r="L101" s="18">
        <f>IF(ISNUMBER(J101), $B118 * K101, "")</f>
        <v>-5218.9210320562943</v>
      </c>
      <c r="M101" s="31">
        <v>4922000</v>
      </c>
      <c r="N101" s="32">
        <f t="shared" si="49"/>
        <v>-3.7920250195465209E-2</v>
      </c>
      <c r="O101" s="18">
        <f>IF(ISNUMBER(M101), $B118 * N101, "")</f>
        <v>-5688.0375293197812</v>
      </c>
      <c r="Q101" s="275"/>
      <c r="R101" s="275"/>
      <c r="S101" s="275"/>
    </row>
    <row r="102" spans="1:19" ht="17.25" thickBot="1">
      <c r="A102" s="126" t="s">
        <v>168</v>
      </c>
      <c r="B102" s="127">
        <v>255</v>
      </c>
      <c r="C102" s="74">
        <v>6.25E-2</v>
      </c>
      <c r="D102" s="20">
        <v>221</v>
      </c>
      <c r="E102" s="21">
        <f t="shared" si="46"/>
        <v>-0.13333333333333333</v>
      </c>
      <c r="F102" s="22">
        <f>IF(ISNUMBER(D102), $B118 * E102, "")</f>
        <v>-20000</v>
      </c>
      <c r="G102" s="30">
        <v>227</v>
      </c>
      <c r="H102" s="21">
        <f t="shared" si="47"/>
        <v>-0.10980392156862745</v>
      </c>
      <c r="I102" s="101">
        <f>IF(ISNUMBER(G102), $B118 * H102, "")</f>
        <v>-16470.588235294119</v>
      </c>
      <c r="J102" s="20">
        <v>225</v>
      </c>
      <c r="K102" s="21">
        <f t="shared" si="48"/>
        <v>-0.11764705882352941</v>
      </c>
      <c r="L102" s="22">
        <f>IF(ISNUMBER(J102), $B118 * K102, "")</f>
        <v>-17647.058823529413</v>
      </c>
      <c r="M102" s="30">
        <v>226</v>
      </c>
      <c r="N102" s="21">
        <f t="shared" si="49"/>
        <v>-0.11372549019607843</v>
      </c>
      <c r="O102" s="22">
        <f>IF(ISNUMBER(M102), $B118 * N102, "")</f>
        <v>-17058.823529411766</v>
      </c>
      <c r="Q102" s="275"/>
      <c r="R102" s="275"/>
      <c r="S102" s="275"/>
    </row>
    <row r="103" spans="1:19" ht="17.25" thickBot="1">
      <c r="A103" s="124" t="s">
        <v>118</v>
      </c>
      <c r="B103" s="128">
        <v>7955</v>
      </c>
      <c r="C103" s="76">
        <v>5.2945069499999997E-2</v>
      </c>
      <c r="D103" s="102">
        <v>7045</v>
      </c>
      <c r="E103" s="103">
        <f>IF(ISNUMBER(D103), (D103 - $B103) / $B103, "")</f>
        <v>-0.11439346323067254</v>
      </c>
      <c r="F103" s="104">
        <f>IF(ISNUMBER(D103), $B118 * E103, "")</f>
        <v>-17159.019484600882</v>
      </c>
      <c r="G103" s="105">
        <v>7285</v>
      </c>
      <c r="H103" s="103">
        <f>IF(ISNUMBER(G103), (G103 - $B103) / $B103, "")</f>
        <v>-8.4223758642363297E-2</v>
      </c>
      <c r="I103" s="106">
        <f>IF(ISNUMBER(G103), $B118 * H103, "")</f>
        <v>-12633.563796354494</v>
      </c>
      <c r="J103" s="102">
        <v>7500</v>
      </c>
      <c r="K103" s="103">
        <f>IF(ISNUMBER(J103), (J103 - $B103) / $B103, "")</f>
        <v>-5.7196731615336269E-2</v>
      </c>
      <c r="L103" s="104">
        <f>IF(ISNUMBER(J103), $B118 * K103, "")</f>
        <v>-8579.5097423004408</v>
      </c>
      <c r="M103" s="105">
        <v>7255</v>
      </c>
      <c r="N103" s="103">
        <f>IF(ISNUMBER(M103), (M103 - $B103) / $B103, "")</f>
        <v>-8.7994971715901954E-2</v>
      </c>
      <c r="O103" s="104">
        <f>IF(ISNUMBER(M103), $B118 * N103, "")</f>
        <v>-13199.245757385293</v>
      </c>
      <c r="Q103" s="275"/>
      <c r="R103" s="275"/>
      <c r="S103" s="275"/>
    </row>
    <row r="104" spans="1:19" ht="17.25" thickBot="1">
      <c r="A104" s="124" t="s">
        <v>242</v>
      </c>
      <c r="B104" s="125">
        <v>10600</v>
      </c>
      <c r="C104" s="73">
        <v>4.5364891499999997E-2</v>
      </c>
      <c r="D104" s="15">
        <v>10080</v>
      </c>
      <c r="E104" s="32">
        <f t="shared" ref="E104:E107" si="50">IF(ISNUMBER(D104), (D104 - $B104) / $B104, "")</f>
        <v>-4.9056603773584909E-2</v>
      </c>
      <c r="F104" s="18">
        <f>IF(ISNUMBER(D104), $B118 * E104, "")</f>
        <v>-7358.4905660377362</v>
      </c>
      <c r="G104" s="31">
        <v>10210</v>
      </c>
      <c r="H104" s="32">
        <f t="shared" ref="H104:H107" si="51">IF(ISNUMBER(G104), (G104 - $B104) / $B104, "")</f>
        <v>-3.6792452830188678E-2</v>
      </c>
      <c r="I104" s="97">
        <f>IF(ISNUMBER(G104), $B118 * H104, "")</f>
        <v>-5518.867924528302</v>
      </c>
      <c r="J104" s="15">
        <v>10420</v>
      </c>
      <c r="K104" s="32">
        <f t="shared" ref="K104:K107" si="52">IF(ISNUMBER(J104), (J104 - $B104) / $B104, "")</f>
        <v>-1.6981132075471698E-2</v>
      </c>
      <c r="L104" s="18">
        <f>IF(ISNUMBER(J104), $B118 * K104, "")</f>
        <v>-2547.1698113207549</v>
      </c>
      <c r="M104" s="31">
        <v>10340</v>
      </c>
      <c r="N104" s="32">
        <f t="shared" ref="N104:N107" si="53">IF(ISNUMBER(M104), (M104 - $B104) / $B104, "")</f>
        <v>-2.4528301886792454E-2</v>
      </c>
      <c r="O104" s="18">
        <f>IF(ISNUMBER(M104), $B118 * N104, "")</f>
        <v>-3679.2452830188681</v>
      </c>
      <c r="Q104" s="275"/>
      <c r="R104" s="275"/>
      <c r="S104" s="275"/>
    </row>
    <row r="105" spans="1:19" ht="17.25" thickBot="1">
      <c r="A105" s="124" t="s">
        <v>276</v>
      </c>
      <c r="B105" s="125">
        <v>5365</v>
      </c>
      <c r="C105" s="73">
        <v>3.7717601500000003E-2</v>
      </c>
      <c r="D105" s="15">
        <v>4865</v>
      </c>
      <c r="E105" s="32">
        <f t="shared" si="50"/>
        <v>-9.3196644920782848E-2</v>
      </c>
      <c r="F105" s="18">
        <f>IF(ISNUMBER(D105), $B118 * E105, "")</f>
        <v>-13979.496738117427</v>
      </c>
      <c r="G105" s="31">
        <v>5040</v>
      </c>
      <c r="H105" s="32">
        <f t="shared" si="51"/>
        <v>-6.0577819198508853E-2</v>
      </c>
      <c r="I105" s="97">
        <f>IF(ISNUMBER(G105), $B118 * H105, "")</f>
        <v>-9086.672879776328</v>
      </c>
      <c r="J105" s="15">
        <v>5055</v>
      </c>
      <c r="K105" s="32">
        <f t="shared" si="52"/>
        <v>-5.778191985088537E-2</v>
      </c>
      <c r="L105" s="18">
        <f>IF(ISNUMBER(J105), $B118 * K105, "")</f>
        <v>-8667.2879776328064</v>
      </c>
      <c r="M105" s="31">
        <v>5080</v>
      </c>
      <c r="N105" s="32">
        <f t="shared" si="53"/>
        <v>-5.3122087604846227E-2</v>
      </c>
      <c r="O105" s="18">
        <f>IF(ISNUMBER(M105), $B118 * N105, "")</f>
        <v>-7968.3131407269339</v>
      </c>
      <c r="Q105" s="275"/>
      <c r="R105" s="275"/>
      <c r="S105" s="275"/>
    </row>
    <row r="106" spans="1:19" ht="17.25" thickBot="1">
      <c r="A106" s="124" t="s">
        <v>228</v>
      </c>
      <c r="B106" s="125">
        <v>18.2</v>
      </c>
      <c r="C106" s="73">
        <v>3.4090909099999997E-2</v>
      </c>
      <c r="D106" s="15">
        <v>17.3</v>
      </c>
      <c r="E106" s="32">
        <f t="shared" si="50"/>
        <v>-4.9450549450549372E-2</v>
      </c>
      <c r="F106" s="18">
        <f>IF(ISNUMBER(D106), $B118 * E106, "")</f>
        <v>-7417.5824175824055</v>
      </c>
      <c r="G106" s="31">
        <v>17.8</v>
      </c>
      <c r="H106" s="32">
        <f t="shared" si="51"/>
        <v>-2.19780219780219E-2</v>
      </c>
      <c r="I106" s="97">
        <f>IF(ISNUMBER(G106), $B118 * H106, "")</f>
        <v>-3296.7032967032851</v>
      </c>
      <c r="J106" s="15">
        <v>18</v>
      </c>
      <c r="K106" s="32">
        <f t="shared" si="52"/>
        <v>-1.098901098901095E-2</v>
      </c>
      <c r="L106" s="18">
        <f>IF(ISNUMBER(J106), $B118 * K106, "")</f>
        <v>-1648.3516483516426</v>
      </c>
      <c r="M106" s="31">
        <v>18</v>
      </c>
      <c r="N106" s="32">
        <f t="shared" si="53"/>
        <v>-1.098901098901095E-2</v>
      </c>
      <c r="O106" s="18">
        <f>IF(ISNUMBER(M106), $B118 * N106, "")</f>
        <v>-1648.3516483516426</v>
      </c>
      <c r="Q106" s="33"/>
      <c r="R106" s="33"/>
    </row>
    <row r="107" spans="1:19" ht="17.25" thickBot="1">
      <c r="A107" s="129" t="s">
        <v>170</v>
      </c>
      <c r="B107" s="130">
        <v>571</v>
      </c>
      <c r="C107" s="75">
        <v>3.2549728799999997E-2</v>
      </c>
      <c r="D107" s="24">
        <v>509</v>
      </c>
      <c r="E107" s="25">
        <f t="shared" si="50"/>
        <v>-0.10858143607705779</v>
      </c>
      <c r="F107" s="100">
        <f>IF(ISNUMBER(D107), $B118 * E107, "")</f>
        <v>-16287.215411558669</v>
      </c>
      <c r="G107" s="98">
        <v>519</v>
      </c>
      <c r="H107" s="25">
        <f t="shared" si="51"/>
        <v>-9.106830122591944E-2</v>
      </c>
      <c r="I107" s="99">
        <f>IF(ISNUMBER(G107), $B118 * H107, "")</f>
        <v>-13660.245183887917</v>
      </c>
      <c r="J107" s="24">
        <v>525</v>
      </c>
      <c r="K107" s="25">
        <f t="shared" si="52"/>
        <v>-8.0560420315236428E-2</v>
      </c>
      <c r="L107" s="100">
        <f>IF(ISNUMBER(J107), $B118 * K107, "")</f>
        <v>-12084.063047285465</v>
      </c>
      <c r="M107" s="98">
        <v>521</v>
      </c>
      <c r="N107" s="25">
        <f t="shared" si="53"/>
        <v>-8.7565674255691769E-2</v>
      </c>
      <c r="O107" s="100">
        <f>IF(ISNUMBER(M107), $B118 * N107, "")</f>
        <v>-13134.851138353766</v>
      </c>
      <c r="Q107" s="284"/>
      <c r="R107" s="285"/>
      <c r="S107" s="286"/>
    </row>
    <row r="108" spans="1:19">
      <c r="A108" s="122" t="s">
        <v>140</v>
      </c>
      <c r="B108" s="123">
        <v>4260</v>
      </c>
      <c r="C108" s="72">
        <v>3.1476997600000001E-2</v>
      </c>
      <c r="D108" s="13">
        <v>3945</v>
      </c>
      <c r="E108" s="14">
        <f>IF(ISNUMBER(D108), (D108 - $B108) / $B108, "")</f>
        <v>-7.3943661971830985E-2</v>
      </c>
      <c r="F108" s="16">
        <f>IF(ISNUMBER(D108), $B118 * E108, "")</f>
        <v>-11091.549295774648</v>
      </c>
      <c r="G108" s="29">
        <v>4045</v>
      </c>
      <c r="H108" s="14">
        <f>IF(ISNUMBER(G108), (G108 - $B108) / $B108, "")</f>
        <v>-5.0469483568075117E-2</v>
      </c>
      <c r="I108" s="96">
        <f>IF(ISNUMBER(G108), $B118 * H108, "")</f>
        <v>-7570.4225352112671</v>
      </c>
      <c r="J108" s="13">
        <v>4000</v>
      </c>
      <c r="K108" s="14">
        <f>IF(ISNUMBER(J108), (J108 - $B108) / $B108, "")</f>
        <v>-6.1032863849765258E-2</v>
      </c>
      <c r="L108" s="16">
        <f>IF(ISNUMBER(J108), $B118 * K108, "")</f>
        <v>-9154.929577464789</v>
      </c>
      <c r="M108" s="29">
        <v>3960</v>
      </c>
      <c r="N108" s="14">
        <f>IF(ISNUMBER(M108), (M108 - $B108) / $B108, "")</f>
        <v>-7.0422535211267609E-2</v>
      </c>
      <c r="O108" s="16">
        <f>IF(ISNUMBER(M108), $B118 * N108, "")</f>
        <v>-10563.380281690141</v>
      </c>
      <c r="Q108" s="287"/>
      <c r="R108" s="288"/>
      <c r="S108" s="289"/>
    </row>
    <row r="109" spans="1:19" ht="17.25" thickBot="1">
      <c r="A109" s="124" t="s">
        <v>90</v>
      </c>
      <c r="B109" s="125">
        <v>453200</v>
      </c>
      <c r="C109" s="73">
        <v>2.8830873999999999E-2</v>
      </c>
      <c r="D109" s="15">
        <v>419700</v>
      </c>
      <c r="E109" s="32">
        <f t="shared" ref="E109:E112" si="54">IF(ISNUMBER(D109), (D109 - $B109) / $B109, "")</f>
        <v>-7.3918799646954983E-2</v>
      </c>
      <c r="F109" s="18">
        <f>IF(ISNUMBER(D109), $B118 * E109, "")</f>
        <v>-11087.819947043248</v>
      </c>
      <c r="G109" s="31">
        <v>428600</v>
      </c>
      <c r="H109" s="32">
        <f t="shared" ref="H109:H112" si="55">IF(ISNUMBER(G109), (G109 - $B109) / $B109, "")</f>
        <v>-5.4280670785525155E-2</v>
      </c>
      <c r="I109" s="97">
        <f>IF(ISNUMBER(G109), $B118 * H109, "")</f>
        <v>-8142.1006178287735</v>
      </c>
      <c r="J109" s="15">
        <v>419950</v>
      </c>
      <c r="K109" s="32">
        <f t="shared" ref="K109:K112" si="56">IF(ISNUMBER(J109), (J109 - $B109) / $B109, "")</f>
        <v>-7.3367166813768758E-2</v>
      </c>
      <c r="L109" s="18">
        <f>IF(ISNUMBER(J109), $B118 * K109, "")</f>
        <v>-11005.075022065314</v>
      </c>
      <c r="M109" s="31">
        <v>443300</v>
      </c>
      <c r="N109" s="32">
        <f t="shared" ref="N109:N112" si="57">IF(ISNUMBER(M109), (M109 - $B109) / $B109, "")</f>
        <v>-2.1844660194174758E-2</v>
      </c>
      <c r="O109" s="18">
        <f>IF(ISNUMBER(M109), $B118 * N109, "")</f>
        <v>-3276.6990291262136</v>
      </c>
      <c r="Q109" s="290"/>
      <c r="R109" s="291"/>
      <c r="S109" s="292"/>
    </row>
    <row r="110" spans="1:19" ht="17.25" thickBot="1">
      <c r="A110" s="124" t="s">
        <v>102</v>
      </c>
      <c r="B110" s="125">
        <v>149200</v>
      </c>
      <c r="C110" s="73">
        <v>2.8256374899999999E-2</v>
      </c>
      <c r="D110" s="15">
        <v>133100</v>
      </c>
      <c r="E110" s="32">
        <f t="shared" si="54"/>
        <v>-0.1079088471849866</v>
      </c>
      <c r="F110" s="18">
        <f>IF(ISNUMBER(D110), $B118 * E110, "")</f>
        <v>-16186.32707774799</v>
      </c>
      <c r="G110" s="31">
        <v>133950</v>
      </c>
      <c r="H110" s="32">
        <f t="shared" si="55"/>
        <v>-0.10221179624664879</v>
      </c>
      <c r="I110" s="97">
        <f>IF(ISNUMBER(G110), $B118 * H110, "")</f>
        <v>-15331.76943699732</v>
      </c>
      <c r="J110" s="15">
        <v>131700</v>
      </c>
      <c r="K110" s="32">
        <f t="shared" si="56"/>
        <v>-0.11729222520107238</v>
      </c>
      <c r="L110" s="18">
        <f>IF(ISNUMBER(J110), $B118 * K110, "")</f>
        <v>-17593.833780160858</v>
      </c>
      <c r="M110" s="31">
        <v>131850</v>
      </c>
      <c r="N110" s="32">
        <f t="shared" si="57"/>
        <v>-0.11628686327077747</v>
      </c>
      <c r="O110" s="18">
        <f>IF(ISNUMBER(M110), $B118 * N110, "")</f>
        <v>-17443.02949061662</v>
      </c>
      <c r="Q110" s="275"/>
      <c r="R110" s="275"/>
      <c r="S110" s="275"/>
    </row>
    <row r="111" spans="1:19" ht="17.25" thickBot="1">
      <c r="A111" s="124" t="s">
        <v>180</v>
      </c>
      <c r="B111" s="125">
        <v>5000</v>
      </c>
      <c r="C111" s="73">
        <v>2.5641025599999999E-2</v>
      </c>
      <c r="D111" s="15">
        <v>4690</v>
      </c>
      <c r="E111" s="32">
        <f t="shared" si="54"/>
        <v>-6.2E-2</v>
      </c>
      <c r="F111" s="18">
        <f>IF(ISNUMBER(D111), $B118 * E111, "")</f>
        <v>-9300</v>
      </c>
      <c r="G111" s="31">
        <v>4810</v>
      </c>
      <c r="H111" s="32">
        <f t="shared" si="55"/>
        <v>-3.7999999999999999E-2</v>
      </c>
      <c r="I111" s="97">
        <f>IF(ISNUMBER(G111), $B118 * H111, "")</f>
        <v>-5700</v>
      </c>
      <c r="J111" s="15">
        <v>4745</v>
      </c>
      <c r="K111" s="32">
        <f t="shared" si="56"/>
        <v>-5.0999999999999997E-2</v>
      </c>
      <c r="L111" s="18">
        <f>IF(ISNUMBER(J111), $B118 * K111, "")</f>
        <v>-7649.9999999999991</v>
      </c>
      <c r="M111" s="31">
        <v>4735</v>
      </c>
      <c r="N111" s="32">
        <f t="shared" si="57"/>
        <v>-5.2999999999999999E-2</v>
      </c>
      <c r="O111" s="18">
        <f>IF(ISNUMBER(M111), $B118 * N111, "")</f>
        <v>-7950</v>
      </c>
      <c r="Q111" s="270"/>
      <c r="R111" s="270"/>
      <c r="S111" s="270"/>
    </row>
    <row r="112" spans="1:19" ht="17.25" thickBot="1">
      <c r="A112" s="126" t="s">
        <v>110</v>
      </c>
      <c r="B112" s="127">
        <v>3310</v>
      </c>
      <c r="C112" s="74">
        <v>2.1604938300000001E-2</v>
      </c>
      <c r="D112" s="20">
        <v>2765</v>
      </c>
      <c r="E112" s="21">
        <f t="shared" si="54"/>
        <v>-0.1646525679758308</v>
      </c>
      <c r="F112" s="22">
        <f>IF(ISNUMBER(D112), $B118 * E112, "")</f>
        <v>-24697.88519637462</v>
      </c>
      <c r="G112" s="30">
        <v>2930</v>
      </c>
      <c r="H112" s="21">
        <f t="shared" si="55"/>
        <v>-0.11480362537764351</v>
      </c>
      <c r="I112" s="101">
        <f>IF(ISNUMBER(G112), $B118 * H112, "")</f>
        <v>-17220.543806646525</v>
      </c>
      <c r="J112" s="20">
        <v>2880</v>
      </c>
      <c r="K112" s="21">
        <f t="shared" si="56"/>
        <v>-0.12990936555891239</v>
      </c>
      <c r="L112" s="22">
        <f>IF(ISNUMBER(J112), $B118 * K112, "")</f>
        <v>-19486.404833836859</v>
      </c>
      <c r="M112" s="30">
        <v>2935</v>
      </c>
      <c r="N112" s="21">
        <f t="shared" si="57"/>
        <v>-0.11329305135951662</v>
      </c>
      <c r="O112" s="22">
        <f>IF(ISNUMBER(M112), $B118 * N112, "")</f>
        <v>-16993.957703927492</v>
      </c>
      <c r="Q112" s="270"/>
      <c r="R112" s="270"/>
      <c r="S112" s="270"/>
    </row>
    <row r="113" spans="1:19" ht="17.25" thickBot="1">
      <c r="A113" s="124" t="s">
        <v>80</v>
      </c>
      <c r="B113" s="128">
        <v>1765</v>
      </c>
      <c r="C113" s="76">
        <v>1.7291066300000001E-2</v>
      </c>
      <c r="D113" s="102">
        <v>1685</v>
      </c>
      <c r="E113" s="103">
        <f>IF(ISNUMBER(D113), (D113 - $B113) / $B113, "")</f>
        <v>-4.5325779036827198E-2</v>
      </c>
      <c r="F113" s="104">
        <f>IF(ISNUMBER(D113), $B118 * E113, "")</f>
        <v>-6798.8668555240793</v>
      </c>
      <c r="G113" s="105">
        <v>1685</v>
      </c>
      <c r="H113" s="103">
        <f>IF(ISNUMBER(G113), (G113 - $B113) / $B113, "")</f>
        <v>-4.5325779036827198E-2</v>
      </c>
      <c r="I113" s="106">
        <f>IF(ISNUMBER(G113), $B118 * H113, "")</f>
        <v>-6798.8668555240793</v>
      </c>
      <c r="J113" s="102">
        <v>1655</v>
      </c>
      <c r="K113" s="103">
        <f>IF(ISNUMBER(J113), (J113 - $B113) / $B113, "")</f>
        <v>-6.2322946175637391E-2</v>
      </c>
      <c r="L113" s="104">
        <f>IF(ISNUMBER(J113), $B118 * K113, "")</f>
        <v>-9348.4419263456093</v>
      </c>
      <c r="M113" s="105">
        <v>1640</v>
      </c>
      <c r="N113" s="103">
        <f>IF(ISNUMBER(M113), (M113 - $B113) / $B113, "")</f>
        <v>-7.0821529745042494E-2</v>
      </c>
      <c r="O113" s="104">
        <f>IF(ISNUMBER(M113), $B118 * N113, "")</f>
        <v>-10623.229461756375</v>
      </c>
      <c r="Q113" s="275"/>
      <c r="R113" s="275"/>
      <c r="S113" s="275"/>
    </row>
    <row r="114" spans="1:19" ht="17.25" thickBot="1">
      <c r="A114" s="124" t="s">
        <v>108</v>
      </c>
      <c r="B114" s="125">
        <v>61820</v>
      </c>
      <c r="C114" s="73">
        <v>1.1122015000000001E-2</v>
      </c>
      <c r="D114" s="15">
        <v>55000</v>
      </c>
      <c r="E114" s="32">
        <f t="shared" ref="E114:E117" si="58">IF(ISNUMBER(D114), (D114 - $B114) / $B114, "")</f>
        <v>-0.1103202846975089</v>
      </c>
      <c r="F114" s="18">
        <f>IF(ISNUMBER(D114), $B118 * E114, "")</f>
        <v>-16548.042704626336</v>
      </c>
      <c r="G114" s="31">
        <v>55780</v>
      </c>
      <c r="H114" s="32">
        <f t="shared" ref="H114:H117" si="59">IF(ISNUMBER(G114), (G114 - $B114) / $B114, "")</f>
        <v>-9.7703008735037206E-2</v>
      </c>
      <c r="I114" s="97">
        <f>IF(ISNUMBER(G114), $B118 * H114, "")</f>
        <v>-14655.451310255581</v>
      </c>
      <c r="J114" s="15">
        <v>54700</v>
      </c>
      <c r="K114" s="32">
        <f t="shared" ref="K114:K117" si="60">IF(ISNUMBER(J114), (J114 - $B114) / $B114, "")</f>
        <v>-0.1151730831446134</v>
      </c>
      <c r="L114" s="18">
        <f>IF(ISNUMBER(J114), $B118 * K114, "")</f>
        <v>-17275.962471692012</v>
      </c>
      <c r="M114" s="31">
        <v>56480</v>
      </c>
      <c r="N114" s="32">
        <f t="shared" ref="N114:N117" si="61">IF(ISNUMBER(M114), (M114 - $B114) / $B114, "")</f>
        <v>-8.637981235846004E-2</v>
      </c>
      <c r="O114" s="18">
        <f>IF(ISNUMBER(M114), $B118 * N114, "")</f>
        <v>-12956.971853769006</v>
      </c>
      <c r="Q114" s="275"/>
      <c r="R114" s="275"/>
      <c r="S114" s="275"/>
    </row>
    <row r="115" spans="1:19" ht="17.25" thickBot="1">
      <c r="A115" s="124" t="s">
        <v>130</v>
      </c>
      <c r="B115" s="125">
        <v>483500</v>
      </c>
      <c r="C115" s="73">
        <v>1.0766175399999999E-2</v>
      </c>
      <c r="D115" s="15">
        <v>443000</v>
      </c>
      <c r="E115" s="32">
        <f t="shared" si="58"/>
        <v>-8.376421923474664E-2</v>
      </c>
      <c r="F115" s="18">
        <f>IF(ISNUMBER(D115), $B118 * E115, "")</f>
        <v>-12564.632885211997</v>
      </c>
      <c r="G115" s="31">
        <v>448500</v>
      </c>
      <c r="H115" s="32">
        <f t="shared" si="59"/>
        <v>-7.2388831437435366E-2</v>
      </c>
      <c r="I115" s="97">
        <f>IF(ISNUMBER(G115), $B118 * H115, "")</f>
        <v>-10858.324715615305</v>
      </c>
      <c r="J115" s="15">
        <v>439600</v>
      </c>
      <c r="K115" s="32">
        <f t="shared" si="60"/>
        <v>-9.0796277145811788E-2</v>
      </c>
      <c r="L115" s="18">
        <f>IF(ISNUMBER(J115), $B118 * K115, "")</f>
        <v>-13619.441571871768</v>
      </c>
      <c r="M115" s="31">
        <v>447150</v>
      </c>
      <c r="N115" s="32">
        <f t="shared" si="61"/>
        <v>-7.5180972078593589E-2</v>
      </c>
      <c r="O115" s="18">
        <f>IF(ISNUMBER(M115), $B118 * N115, "")</f>
        <v>-11277.145811789038</v>
      </c>
      <c r="Q115" s="275"/>
      <c r="R115" s="275"/>
      <c r="S115" s="275"/>
    </row>
    <row r="116" spans="1:19">
      <c r="A116" s="124" t="s">
        <v>272</v>
      </c>
      <c r="B116" s="125">
        <v>2840</v>
      </c>
      <c r="C116" s="73">
        <v>1.06761566E-2</v>
      </c>
      <c r="D116" s="15">
        <v>2445</v>
      </c>
      <c r="E116" s="32">
        <f t="shared" si="58"/>
        <v>-0.13908450704225353</v>
      </c>
      <c r="F116" s="18">
        <f>IF(ISNUMBER(D116), $B118 * E116, "")</f>
        <v>-20862.67605633803</v>
      </c>
      <c r="G116" s="31">
        <v>2530</v>
      </c>
      <c r="H116" s="32">
        <f t="shared" si="59"/>
        <v>-0.10915492957746478</v>
      </c>
      <c r="I116" s="97">
        <f>IF(ISNUMBER(G116), $B118 * H116, "")</f>
        <v>-16373.239436619717</v>
      </c>
      <c r="J116" s="15">
        <v>2520</v>
      </c>
      <c r="K116" s="32">
        <f t="shared" si="60"/>
        <v>-0.11267605633802817</v>
      </c>
      <c r="L116" s="18">
        <f>IF(ISNUMBER(J116), $B118 * K116, "")</f>
        <v>-16901.408450704224</v>
      </c>
      <c r="M116" s="31">
        <v>2485</v>
      </c>
      <c r="N116" s="32">
        <f t="shared" si="61"/>
        <v>-0.125</v>
      </c>
      <c r="O116" s="18">
        <f>IF(ISNUMBER(M116), $B118 * N116, "")</f>
        <v>-18750</v>
      </c>
      <c r="Q116" s="297"/>
      <c r="R116" s="298"/>
      <c r="S116" s="299"/>
    </row>
    <row r="117" spans="1:19" ht="17.25" thickBot="1">
      <c r="A117" s="129" t="s">
        <v>216</v>
      </c>
      <c r="B117" s="130">
        <v>508</v>
      </c>
      <c r="C117" s="75">
        <v>9.9403579000000002E-3</v>
      </c>
      <c r="D117" s="24">
        <v>477</v>
      </c>
      <c r="E117" s="25">
        <f t="shared" si="58"/>
        <v>-6.1023622047244097E-2</v>
      </c>
      <c r="F117" s="100">
        <f>IF(ISNUMBER(D117), $B118 * E117, "")</f>
        <v>-9153.5433070866147</v>
      </c>
      <c r="G117" s="98">
        <v>508</v>
      </c>
      <c r="H117" s="25">
        <f t="shared" si="59"/>
        <v>0</v>
      </c>
      <c r="I117" s="99">
        <f>IF(ISNUMBER(G117), $B118 * H117, "")</f>
        <v>0</v>
      </c>
      <c r="J117" s="24">
        <v>499</v>
      </c>
      <c r="K117" s="25">
        <f t="shared" si="60"/>
        <v>-1.7716535433070866E-2</v>
      </c>
      <c r="L117" s="100">
        <f>IF(ISNUMBER(J117), $B118 * K117, "")</f>
        <v>-2657.48031496063</v>
      </c>
      <c r="M117" s="98">
        <v>482</v>
      </c>
      <c r="N117" s="25">
        <f t="shared" si="61"/>
        <v>-5.1181102362204724E-2</v>
      </c>
      <c r="O117" s="100">
        <f>IF(ISNUMBER(M117), $B118 * N117, "")</f>
        <v>-7677.1653543307084</v>
      </c>
      <c r="Q117" s="300"/>
      <c r="R117" s="301"/>
      <c r="S117" s="302"/>
    </row>
    <row r="118" spans="1:19" ht="17.25" thickBot="1">
      <c r="A118" s="131" t="s">
        <v>301</v>
      </c>
      <c r="B118" s="308">
        <f>$B$37</f>
        <v>150000</v>
      </c>
      <c r="C118" s="309"/>
      <c r="D118" s="26" t="s">
        <v>302</v>
      </c>
      <c r="E118" s="27">
        <f>IF(COUNT(E98:E117), SUM(E98:E117) / COUNT(E98:E117), 0)</f>
        <v>-8.9699944976188856E-2</v>
      </c>
      <c r="F118" s="28">
        <f>SUM(F98:F117)</f>
        <v>-269099.83492856659</v>
      </c>
      <c r="G118" s="26" t="s">
        <v>302</v>
      </c>
      <c r="H118" s="27">
        <f>IF(COUNT(H98:H117), SUM(H98:H117) / COUNT(H98:H117), 0)</f>
        <v>-6.8085505552417741E-2</v>
      </c>
      <c r="I118" s="28">
        <f>SUM(I98:I117)</f>
        <v>-204256.51665725323</v>
      </c>
      <c r="J118" s="26" t="s">
        <v>302</v>
      </c>
      <c r="K118" s="27">
        <f>IF(COUNT(K98:K117), SUM(K98:K117) / COUNT(K98:K117), 0)</f>
        <v>-6.7138721354043723E-2</v>
      </c>
      <c r="L118" s="28">
        <f>SUM(L98:L117)</f>
        <v>-201416.16406213114</v>
      </c>
      <c r="M118" s="26" t="s">
        <v>302</v>
      </c>
      <c r="N118" s="27">
        <f>IF(COUNT(N98:N117), SUM(N98:N117) / COUNT(N98:N117), 0)</f>
        <v>-6.7628111401704341E-2</v>
      </c>
      <c r="O118" s="28">
        <f>SUM(O98:O117)</f>
        <v>-202884.334205113</v>
      </c>
      <c r="Q118" s="303"/>
      <c r="R118" s="304"/>
      <c r="S118" s="305"/>
    </row>
    <row r="120" spans="1:19" ht="17.25" thickBot="1"/>
    <row r="121" spans="1:19" ht="17.25" thickBot="1">
      <c r="A121" s="249" t="s">
        <v>288</v>
      </c>
      <c r="B121" s="250"/>
      <c r="C121" s="250"/>
      <c r="D121" s="250"/>
      <c r="E121" s="250"/>
      <c r="F121" s="250"/>
      <c r="G121" s="250"/>
      <c r="H121" s="250"/>
      <c r="I121" s="250"/>
      <c r="J121" s="250"/>
      <c r="K121" s="250"/>
      <c r="L121" s="250"/>
      <c r="M121" s="250"/>
      <c r="N121" s="250"/>
      <c r="O121" s="251"/>
      <c r="Q121" s="270"/>
      <c r="R121" s="270"/>
      <c r="S121" s="270"/>
    </row>
    <row r="122" spans="1:19" ht="17.25" thickBot="1">
      <c r="A122" s="186" t="s">
        <v>298</v>
      </c>
      <c r="B122" s="249" t="s">
        <v>49</v>
      </c>
      <c r="C122" s="251"/>
      <c r="D122" s="249" t="s">
        <v>58</v>
      </c>
      <c r="E122" s="250"/>
      <c r="F122" s="251"/>
      <c r="G122" s="276">
        <f>_xlfn.IFNA(VLOOKUP(B122, 현재가테이블!$B$2:$D$200, 2, FALSE), "-")</f>
        <v>60874000</v>
      </c>
      <c r="H122" s="277"/>
      <c r="I122" s="278"/>
      <c r="J122" s="249" t="s">
        <v>59</v>
      </c>
      <c r="K122" s="250"/>
      <c r="L122" s="251"/>
      <c r="M122" s="279">
        <f>_xlfn.IFNA(VLOOKUP(B122, 현재가테이블!$B$2:$D$200, 3, FALSE), "-")</f>
        <v>-1.4936000099999999E-2</v>
      </c>
      <c r="N122" s="280"/>
      <c r="O122" s="281"/>
      <c r="Q122" s="270"/>
      <c r="R122" s="270"/>
      <c r="S122" s="270"/>
    </row>
    <row r="123" spans="1:19" ht="17.25" thickBot="1">
      <c r="A123" s="310" t="s">
        <v>55</v>
      </c>
      <c r="B123" s="312" t="str">
        <f>TEXT($G$1, "[$-ko-KR]yyyy-mm-dd(ddd) ") &amp; "오전 00:00"</f>
        <v>2021-05-11(화) 오전 00:00</v>
      </c>
      <c r="C123" s="313"/>
      <c r="D123" s="272" t="str">
        <f>TEXT($G$1, "[$-ko-KR]yyyy-mm-dd(ddd) ") &amp; "오후 14:00"</f>
        <v>2021-05-11(화) 오후 14:00</v>
      </c>
      <c r="E123" s="273"/>
      <c r="F123" s="274"/>
      <c r="G123" s="272" t="str">
        <f>TEXT($G$1, "[$-ko-KR]yyyy-mm-dd(ddd) ") &amp; "오후 19:00"</f>
        <v>2021-05-11(화) 오후 19:00</v>
      </c>
      <c r="H123" s="273"/>
      <c r="I123" s="274"/>
      <c r="J123" s="272" t="str">
        <f>TEXT($G$1, "[$-ko-KR]yyyy-mm-dd(ddd) ") &amp; "오후 21:00"</f>
        <v>2021-05-11(화) 오후 21:00</v>
      </c>
      <c r="K123" s="273"/>
      <c r="L123" s="274"/>
      <c r="M123" s="272" t="str">
        <f>TEXT($G$1+1, "[$-ko-KR]yyyy-mm-dd(ddd) ") &amp; "오전 00:00"</f>
        <v>2021-05-12(수) 오전 00:00</v>
      </c>
      <c r="N123" s="273"/>
      <c r="O123" s="274"/>
      <c r="Q123" s="270"/>
      <c r="R123" s="270"/>
      <c r="S123" s="270"/>
    </row>
    <row r="124" spans="1:19" ht="17.25" thickBot="1">
      <c r="A124" s="311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92" t="s">
        <v>58</v>
      </c>
      <c r="H124" s="193" t="s">
        <v>299</v>
      </c>
      <c r="I124" s="19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75"/>
      <c r="R124" s="275"/>
      <c r="S124" s="275"/>
    </row>
    <row r="125" spans="1:19" ht="17.25" thickBot="1">
      <c r="A125" s="122" t="s">
        <v>228</v>
      </c>
      <c r="B125" s="123">
        <v>18.2</v>
      </c>
      <c r="C125" s="72">
        <v>3.4090909099999997E-2</v>
      </c>
      <c r="D125" s="13">
        <v>17.3</v>
      </c>
      <c r="E125" s="14">
        <f>IF(ISNUMBER(D125), (D125 - $B125) / $B125, "")</f>
        <v>-4.9450549450549372E-2</v>
      </c>
      <c r="F125" s="16">
        <f>IF(ISNUMBER(D125), $B145 * E125, "")</f>
        <v>-7417.5824175824055</v>
      </c>
      <c r="G125" s="29">
        <v>17.8</v>
      </c>
      <c r="H125" s="14">
        <f>IF(ISNUMBER(G125), (G125 - $B125) / $B125, "")</f>
        <v>-2.19780219780219E-2</v>
      </c>
      <c r="I125" s="96">
        <f>IF(ISNUMBER(G125), $B145 * H125, "")</f>
        <v>-3296.7032967032851</v>
      </c>
      <c r="J125" s="13">
        <v>18</v>
      </c>
      <c r="K125" s="14">
        <f>IF(ISNUMBER(J125), (J125 - $B125) / $B125, "")</f>
        <v>-1.098901098901095E-2</v>
      </c>
      <c r="L125" s="16">
        <f>IF(ISNUMBER(J125), $B145 * K125, "")</f>
        <v>-1648.3516483516426</v>
      </c>
      <c r="M125" s="29">
        <v>18</v>
      </c>
      <c r="N125" s="14">
        <f>IF(ISNUMBER(M125), (M125 - $B125) / $B125, "")</f>
        <v>-1.098901098901095E-2</v>
      </c>
      <c r="O125" s="16">
        <f>IF(ISNUMBER(M125), $B145 * N125, "")</f>
        <v>-1648.3516483516426</v>
      </c>
      <c r="Q125" s="270"/>
      <c r="R125" s="270"/>
      <c r="S125" s="270"/>
    </row>
    <row r="126" spans="1:19" ht="17.25" thickBot="1">
      <c r="A126" s="124" t="s">
        <v>222</v>
      </c>
      <c r="B126" s="125">
        <v>17.899999999999999</v>
      </c>
      <c r="C126" s="73">
        <v>-5.5555556000000004E-3</v>
      </c>
      <c r="D126" s="15">
        <v>17.2</v>
      </c>
      <c r="E126" s="32">
        <f t="shared" ref="E126:E129" si="62">IF(ISNUMBER(D126), (D126 - $B126) / $B126, "")</f>
        <v>-3.9106145251396614E-2</v>
      </c>
      <c r="F126" s="18">
        <f>IF(ISNUMBER(D126), $B145 * E126, "")</f>
        <v>-5865.9217877094925</v>
      </c>
      <c r="G126" s="31">
        <v>18</v>
      </c>
      <c r="H126" s="32">
        <f t="shared" ref="H126:H129" si="63">IF(ISNUMBER(G126), (G126 - $B126) / $B126, "")</f>
        <v>5.5865921787710297E-3</v>
      </c>
      <c r="I126" s="97">
        <f>IF(ISNUMBER(G126), $B145 * H126, "")</f>
        <v>837.98882681565442</v>
      </c>
      <c r="J126" s="15">
        <v>18.3</v>
      </c>
      <c r="K126" s="32">
        <f t="shared" ref="K126:K129" si="64">IF(ISNUMBER(J126), (J126 - $B126) / $B126, "")</f>
        <v>2.2346368715083921E-2</v>
      </c>
      <c r="L126" s="18">
        <f>IF(ISNUMBER(J126), $B145 * K126, "")</f>
        <v>3351.9553072625881</v>
      </c>
      <c r="M126" s="31">
        <v>18.100000000000001</v>
      </c>
      <c r="N126" s="32">
        <f t="shared" ref="N126:N129" si="65">IF(ISNUMBER(M126), (M126 - $B126) / $B126, "")</f>
        <v>1.1173184357542059E-2</v>
      </c>
      <c r="O126" s="18">
        <f>IF(ISNUMBER(M126), $B145 * N126, "")</f>
        <v>1675.9776536313088</v>
      </c>
      <c r="Q126" s="270"/>
      <c r="R126" s="270"/>
      <c r="S126" s="270"/>
    </row>
    <row r="127" spans="1:19" ht="17.25" thickBot="1">
      <c r="A127" s="124" t="s">
        <v>172</v>
      </c>
      <c r="B127" s="125">
        <v>23.4</v>
      </c>
      <c r="C127" s="73">
        <v>-1.26582278E-2</v>
      </c>
      <c r="D127" s="15">
        <v>22.7</v>
      </c>
      <c r="E127" s="32">
        <f t="shared" si="62"/>
        <v>-2.9914529914529885E-2</v>
      </c>
      <c r="F127" s="18">
        <f>IF(ISNUMBER(D127), $B145 * E127, "")</f>
        <v>-4487.1794871794827</v>
      </c>
      <c r="G127" s="31">
        <v>24</v>
      </c>
      <c r="H127" s="32">
        <f t="shared" si="63"/>
        <v>2.5641025641025703E-2</v>
      </c>
      <c r="I127" s="97">
        <f>IF(ISNUMBER(G127), $B145 * H127, "")</f>
        <v>3846.1538461538553</v>
      </c>
      <c r="J127" s="15">
        <v>24.4</v>
      </c>
      <c r="K127" s="32">
        <f t="shared" si="64"/>
        <v>4.2735042735042736E-2</v>
      </c>
      <c r="L127" s="18">
        <f>IF(ISNUMBER(J127), $B145 * K127, "")</f>
        <v>6410.2564102564102</v>
      </c>
      <c r="M127" s="31">
        <v>23.9</v>
      </c>
      <c r="N127" s="32">
        <f t="shared" si="65"/>
        <v>2.1367521367521368E-2</v>
      </c>
      <c r="O127" s="18">
        <f>IF(ISNUMBER(M127), $B145 * N127, "")</f>
        <v>3205.1282051282051</v>
      </c>
      <c r="Q127" s="275"/>
      <c r="R127" s="275"/>
      <c r="S127" s="275"/>
    </row>
    <row r="128" spans="1:19" ht="17.25" thickBot="1">
      <c r="A128" s="124" t="s">
        <v>196</v>
      </c>
      <c r="B128" s="125">
        <v>19.2</v>
      </c>
      <c r="C128" s="73">
        <v>-1.5384615399999999E-2</v>
      </c>
      <c r="D128" s="15">
        <v>18.5</v>
      </c>
      <c r="E128" s="32">
        <f t="shared" si="62"/>
        <v>-3.6458333333333301E-2</v>
      </c>
      <c r="F128" s="18">
        <f>IF(ISNUMBER(D128), $B145 * E128, "")</f>
        <v>-5468.7499999999955</v>
      </c>
      <c r="G128" s="31">
        <v>19.2</v>
      </c>
      <c r="H128" s="32">
        <f t="shared" si="63"/>
        <v>0</v>
      </c>
      <c r="I128" s="97">
        <f>IF(ISNUMBER(G128), $B145 * H128, "")</f>
        <v>0</v>
      </c>
      <c r="J128" s="15">
        <v>19.7</v>
      </c>
      <c r="K128" s="32">
        <f t="shared" si="64"/>
        <v>2.6041666666666668E-2</v>
      </c>
      <c r="L128" s="18">
        <f>IF(ISNUMBER(J128), $B145 * K128, "")</f>
        <v>3906.25</v>
      </c>
      <c r="M128" s="31">
        <v>19.3</v>
      </c>
      <c r="N128" s="32">
        <f t="shared" si="65"/>
        <v>5.2083333333334076E-3</v>
      </c>
      <c r="O128" s="18">
        <f>IF(ISNUMBER(M128), $B145 * N128, "")</f>
        <v>781.25000000001114</v>
      </c>
      <c r="Q128" s="275"/>
      <c r="R128" s="275"/>
      <c r="S128" s="275"/>
    </row>
    <row r="129" spans="1:19" ht="17.25" thickBot="1">
      <c r="A129" s="126" t="s">
        <v>65</v>
      </c>
      <c r="B129" s="127">
        <v>76.599999999999994</v>
      </c>
      <c r="C129" s="74">
        <v>-1.6688061600000002E-2</v>
      </c>
      <c r="D129" s="20">
        <v>69.900000000000006</v>
      </c>
      <c r="E129" s="21">
        <f t="shared" si="62"/>
        <v>-8.7467362924281838E-2</v>
      </c>
      <c r="F129" s="22">
        <f>IF(ISNUMBER(D129), $B145 * E129, "")</f>
        <v>-13120.104438642276</v>
      </c>
      <c r="G129" s="30">
        <v>71.5</v>
      </c>
      <c r="H129" s="21">
        <f t="shared" si="63"/>
        <v>-6.6579634464751888E-2</v>
      </c>
      <c r="I129" s="101">
        <f>IF(ISNUMBER(G129), $B145 * H129, "")</f>
        <v>-9986.9451697127824</v>
      </c>
      <c r="J129" s="20">
        <v>72.3</v>
      </c>
      <c r="K129" s="21">
        <f t="shared" si="64"/>
        <v>-5.6135770234986913E-2</v>
      </c>
      <c r="L129" s="22">
        <f>IF(ISNUMBER(J129), $B145 * K129, "")</f>
        <v>-8420.3655352480364</v>
      </c>
      <c r="M129" s="30">
        <v>71.3</v>
      </c>
      <c r="N129" s="21">
        <f t="shared" si="65"/>
        <v>-6.9190600522193182E-2</v>
      </c>
      <c r="O129" s="22">
        <f>IF(ISNUMBER(M129), $B145 * N129, "")</f>
        <v>-10378.590078328978</v>
      </c>
      <c r="Q129" s="275"/>
      <c r="R129" s="275"/>
      <c r="S129" s="275"/>
    </row>
    <row r="130" spans="1:19" ht="17.25" thickBot="1">
      <c r="A130" s="124" t="s">
        <v>218</v>
      </c>
      <c r="B130" s="128">
        <v>26.5</v>
      </c>
      <c r="C130" s="76">
        <v>-1.8518518500000001E-2</v>
      </c>
      <c r="D130" s="102">
        <v>24.9</v>
      </c>
      <c r="E130" s="103">
        <f>IF(ISNUMBER(D130), (D130 - $B130) / $B130, "")</f>
        <v>-6.0377358490566094E-2</v>
      </c>
      <c r="F130" s="104">
        <f>IF(ISNUMBER(D130), $B145 * E130, "")</f>
        <v>-9056.603773584915</v>
      </c>
      <c r="G130" s="105">
        <v>26.5</v>
      </c>
      <c r="H130" s="103">
        <f>IF(ISNUMBER(G130), (G130 - $B130) / $B130, "")</f>
        <v>0</v>
      </c>
      <c r="I130" s="106">
        <f>IF(ISNUMBER(G130), $B145 * H130, "")</f>
        <v>0</v>
      </c>
      <c r="J130" s="102">
        <v>26.7</v>
      </c>
      <c r="K130" s="103">
        <f>IF(ISNUMBER(J130), (J130 - $B130) / $B130, "")</f>
        <v>7.5471698113207279E-3</v>
      </c>
      <c r="L130" s="104">
        <f>IF(ISNUMBER(J130), $B145 * K130, "")</f>
        <v>1132.0754716981091</v>
      </c>
      <c r="M130" s="105">
        <v>26.8</v>
      </c>
      <c r="N130" s="103">
        <f>IF(ISNUMBER(M130), (M130 - $B130) / $B130, "")</f>
        <v>1.1320754716981159E-2</v>
      </c>
      <c r="O130" s="104">
        <f>IF(ISNUMBER(M130), $B145 * N130, "")</f>
        <v>1698.1132075471739</v>
      </c>
      <c r="Q130" s="275"/>
      <c r="R130" s="275"/>
      <c r="S130" s="275"/>
    </row>
    <row r="131" spans="1:19" ht="17.25" thickBot="1">
      <c r="A131" s="124" t="s">
        <v>126</v>
      </c>
      <c r="B131" s="125">
        <v>57.7</v>
      </c>
      <c r="C131" s="73">
        <v>-2.20338983E-2</v>
      </c>
      <c r="D131" s="15">
        <v>52.7</v>
      </c>
      <c r="E131" s="32">
        <f t="shared" ref="E131:E134" si="66">IF(ISNUMBER(D131), (D131 - $B131) / $B131, "")</f>
        <v>-8.6655112651646438E-2</v>
      </c>
      <c r="F131" s="18">
        <f>IF(ISNUMBER(D131), $B145 * E131, "")</f>
        <v>-12998.266897746966</v>
      </c>
      <c r="G131" s="31">
        <v>61.5</v>
      </c>
      <c r="H131" s="32">
        <f t="shared" ref="H131:H134" si="67">IF(ISNUMBER(G131), (G131 - $B131) / $B131, "")</f>
        <v>6.5857885615251244E-2</v>
      </c>
      <c r="I131" s="97">
        <f>IF(ISNUMBER(G131), $B145 * H131, "")</f>
        <v>9878.6828422876861</v>
      </c>
      <c r="J131" s="15">
        <v>59.3</v>
      </c>
      <c r="K131" s="32">
        <f t="shared" ref="K131:K134" si="68">IF(ISNUMBER(J131), (J131 - $B131) / $B131, "")</f>
        <v>2.7729636048526764E-2</v>
      </c>
      <c r="L131" s="18">
        <f>IF(ISNUMBER(J131), $B145 * K131, "")</f>
        <v>4159.4454072790149</v>
      </c>
      <c r="M131" s="31">
        <v>57.7</v>
      </c>
      <c r="N131" s="32">
        <f t="shared" ref="N131:N134" si="69">IF(ISNUMBER(M131), (M131 - $B131) / $B131, "")</f>
        <v>0</v>
      </c>
      <c r="O131" s="18">
        <f>IF(ISNUMBER(M131), $B145 * N131, "")</f>
        <v>0</v>
      </c>
      <c r="Q131" s="275"/>
      <c r="R131" s="275"/>
      <c r="S131" s="275"/>
    </row>
    <row r="132" spans="1:19" ht="17.25" thickBot="1">
      <c r="A132" s="124" t="s">
        <v>254</v>
      </c>
      <c r="B132" s="125">
        <v>79.7</v>
      </c>
      <c r="C132" s="73">
        <v>-2.32843137E-2</v>
      </c>
      <c r="D132" s="15">
        <v>75.7</v>
      </c>
      <c r="E132" s="32">
        <f t="shared" si="66"/>
        <v>-5.0188205771643665E-2</v>
      </c>
      <c r="F132" s="18">
        <f>IF(ISNUMBER(D132), $B145 * E132, "")</f>
        <v>-7528.2308657465501</v>
      </c>
      <c r="G132" s="31">
        <v>81.2</v>
      </c>
      <c r="H132" s="32">
        <f t="shared" si="67"/>
        <v>1.8820577164366373E-2</v>
      </c>
      <c r="I132" s="97">
        <f>IF(ISNUMBER(G132), $B145 * H132, "")</f>
        <v>2823.0865746549557</v>
      </c>
      <c r="J132" s="15">
        <v>85.5</v>
      </c>
      <c r="K132" s="32">
        <f t="shared" si="68"/>
        <v>7.2772898368883274E-2</v>
      </c>
      <c r="L132" s="18">
        <f>IF(ISNUMBER(J132), $B145 * K132, "")</f>
        <v>10915.934755332491</v>
      </c>
      <c r="M132" s="31">
        <v>88.5</v>
      </c>
      <c r="N132" s="32">
        <f t="shared" si="69"/>
        <v>0.11041405269761602</v>
      </c>
      <c r="O132" s="18">
        <f>IF(ISNUMBER(M132), $B145 * N132, "")</f>
        <v>16562.107904642402</v>
      </c>
      <c r="Q132" s="275"/>
      <c r="R132" s="275"/>
      <c r="S132" s="275"/>
    </row>
    <row r="133" spans="1:19" ht="17.25" thickBot="1">
      <c r="A133" s="124" t="s">
        <v>72</v>
      </c>
      <c r="B133" s="125">
        <v>36.700000000000003</v>
      </c>
      <c r="C133" s="73">
        <v>-2.3936170199999999E-2</v>
      </c>
      <c r="D133" s="15">
        <v>34.200000000000003</v>
      </c>
      <c r="E133" s="32">
        <f t="shared" si="66"/>
        <v>-6.811989100817438E-2</v>
      </c>
      <c r="F133" s="18">
        <f>IF(ISNUMBER(D133), $B145 * E133, "")</f>
        <v>-10217.983651226157</v>
      </c>
      <c r="G133" s="31">
        <v>36.9</v>
      </c>
      <c r="H133" s="32">
        <f t="shared" si="67"/>
        <v>5.4495912806538345E-3</v>
      </c>
      <c r="I133" s="97">
        <f>IF(ISNUMBER(G133), $B145 * H133, "")</f>
        <v>817.43869209807519</v>
      </c>
      <c r="J133" s="15">
        <v>35.9</v>
      </c>
      <c r="K133" s="32">
        <f t="shared" si="68"/>
        <v>-2.1798365122615918E-2</v>
      </c>
      <c r="L133" s="18">
        <f>IF(ISNUMBER(J133), $B145 * K133, "")</f>
        <v>-3269.7547683923876</v>
      </c>
      <c r="M133" s="31">
        <v>35.9</v>
      </c>
      <c r="N133" s="32">
        <f t="shared" si="69"/>
        <v>-2.1798365122615918E-2</v>
      </c>
      <c r="O133" s="18">
        <f>IF(ISNUMBER(M133), $B145 * N133, "")</f>
        <v>-3269.7547683923876</v>
      </c>
      <c r="Q133" s="33"/>
      <c r="R133" s="33"/>
    </row>
    <row r="134" spans="1:19" ht="17.25" thickBot="1">
      <c r="A134" s="129" t="s">
        <v>198</v>
      </c>
      <c r="B134" s="130">
        <v>26.3</v>
      </c>
      <c r="C134" s="75">
        <v>-2.5925925900000001E-2</v>
      </c>
      <c r="D134" s="24">
        <v>24.9</v>
      </c>
      <c r="E134" s="25">
        <f t="shared" si="66"/>
        <v>-5.3231939163498179E-2</v>
      </c>
      <c r="F134" s="100">
        <f>IF(ISNUMBER(D134), $B145 * E134, "")</f>
        <v>-7984.7908745247269</v>
      </c>
      <c r="G134" s="98">
        <v>26.3</v>
      </c>
      <c r="H134" s="25">
        <f t="shared" si="67"/>
        <v>0</v>
      </c>
      <c r="I134" s="99">
        <f>IF(ISNUMBER(G134), $B145 * H134, "")</f>
        <v>0</v>
      </c>
      <c r="J134" s="24">
        <v>26.4</v>
      </c>
      <c r="K134" s="25">
        <f t="shared" si="68"/>
        <v>3.8022813688212117E-3</v>
      </c>
      <c r="L134" s="100">
        <f>IF(ISNUMBER(J134), $B145 * K134, "")</f>
        <v>570.3422053231817</v>
      </c>
      <c r="M134" s="98">
        <v>26.3</v>
      </c>
      <c r="N134" s="25">
        <f t="shared" si="69"/>
        <v>0</v>
      </c>
      <c r="O134" s="100">
        <f>IF(ISNUMBER(M134), $B145 * N134, "")</f>
        <v>0</v>
      </c>
      <c r="Q134" s="284"/>
      <c r="R134" s="285"/>
      <c r="S134" s="286"/>
    </row>
    <row r="135" spans="1:19">
      <c r="A135" s="122" t="s">
        <v>186</v>
      </c>
      <c r="B135" s="123">
        <v>23.8</v>
      </c>
      <c r="C135" s="72">
        <v>-2.85714286E-2</v>
      </c>
      <c r="D135" s="13">
        <v>23.1</v>
      </c>
      <c r="E135" s="14">
        <f>IF(ISNUMBER(D135), (D135 - $B135) / $B135, "")</f>
        <v>-2.9411764705882321E-2</v>
      </c>
      <c r="F135" s="16">
        <f>IF(ISNUMBER(D135), $B145 * E135, "")</f>
        <v>-4411.7647058823486</v>
      </c>
      <c r="G135" s="29">
        <v>23.7</v>
      </c>
      <c r="H135" s="14">
        <f>IF(ISNUMBER(G135), (G135 - $B135) / $B135, "")</f>
        <v>-4.2016806722689672E-3</v>
      </c>
      <c r="I135" s="96">
        <f>IF(ISNUMBER(G135), $B145 * H135, "")</f>
        <v>-630.25210084034507</v>
      </c>
      <c r="J135" s="13">
        <v>24</v>
      </c>
      <c r="K135" s="14">
        <f>IF(ISNUMBER(J135), (J135 - $B135) / $B135, "")</f>
        <v>8.4033613445377853E-3</v>
      </c>
      <c r="L135" s="16">
        <f>IF(ISNUMBER(J135), $B145 * K135, "")</f>
        <v>1260.5042016806678</v>
      </c>
      <c r="M135" s="29">
        <v>23.8</v>
      </c>
      <c r="N135" s="14">
        <f>IF(ISNUMBER(M135), (M135 - $B135) / $B135, "")</f>
        <v>0</v>
      </c>
      <c r="O135" s="16">
        <f>IF(ISNUMBER(M135), $B145 * N135, "")</f>
        <v>0</v>
      </c>
      <c r="Q135" s="287"/>
      <c r="R135" s="288"/>
      <c r="S135" s="289"/>
    </row>
    <row r="136" spans="1:19" ht="17.25" thickBot="1">
      <c r="A136" s="124" t="s">
        <v>268</v>
      </c>
      <c r="B136" s="125">
        <v>87</v>
      </c>
      <c r="C136" s="73">
        <v>-3.1180400899999999E-2</v>
      </c>
      <c r="D136" s="15">
        <v>81.8</v>
      </c>
      <c r="E136" s="32">
        <f t="shared" ref="E136:E139" si="70">IF(ISNUMBER(D136), (D136 - $B136) / $B136, "")</f>
        <v>-5.9770114942528769E-2</v>
      </c>
      <c r="F136" s="18">
        <f>IF(ISNUMBER(D136), $B145 * E136, "")</f>
        <v>-8965.5172413793152</v>
      </c>
      <c r="G136" s="31">
        <v>89.3</v>
      </c>
      <c r="H136" s="32">
        <f t="shared" ref="H136:H139" si="71">IF(ISNUMBER(G136), (G136 - $B136) / $B136, "")</f>
        <v>2.6436781609195371E-2</v>
      </c>
      <c r="I136" s="97">
        <f>IF(ISNUMBER(G136), $B145 * H136, "")</f>
        <v>3965.5172413793057</v>
      </c>
      <c r="J136" s="15">
        <v>93.3</v>
      </c>
      <c r="K136" s="32">
        <f t="shared" ref="K136:K139" si="72">IF(ISNUMBER(J136), (J136 - $B136) / $B136, "")</f>
        <v>7.241379310344824E-2</v>
      </c>
      <c r="L136" s="18">
        <f>IF(ISNUMBER(J136), $B145 * K136, "")</f>
        <v>10862.068965517235</v>
      </c>
      <c r="M136" s="31">
        <v>89.4</v>
      </c>
      <c r="N136" s="32">
        <f t="shared" ref="N136:N139" si="73">IF(ISNUMBER(M136), (M136 - $B136) / $B136, "")</f>
        <v>2.758620689655179E-2</v>
      </c>
      <c r="O136" s="18">
        <f>IF(ISNUMBER(M136), $B145 * N136, "")</f>
        <v>4137.9310344827682</v>
      </c>
      <c r="Q136" s="290"/>
      <c r="R136" s="291"/>
      <c r="S136" s="292"/>
    </row>
    <row r="137" spans="1:19" ht="17.25" thickBot="1">
      <c r="A137" s="124" t="s">
        <v>214</v>
      </c>
      <c r="B137" s="125">
        <v>20.3</v>
      </c>
      <c r="C137" s="73">
        <v>-3.3333333299999997E-2</v>
      </c>
      <c r="D137" s="15">
        <v>19.100000000000001</v>
      </c>
      <c r="E137" s="32">
        <f t="shared" si="70"/>
        <v>-5.91133004926108E-2</v>
      </c>
      <c r="F137" s="18">
        <f>IF(ISNUMBER(D137), $B145 * E137, "")</f>
        <v>-8866.9950738916195</v>
      </c>
      <c r="G137" s="31">
        <v>21.1</v>
      </c>
      <c r="H137" s="32">
        <f t="shared" si="71"/>
        <v>3.9408866995073927E-2</v>
      </c>
      <c r="I137" s="97">
        <f>IF(ISNUMBER(G137), $B145 * H137, "")</f>
        <v>5911.3300492610888</v>
      </c>
      <c r="J137" s="15">
        <v>22.8</v>
      </c>
      <c r="K137" s="32">
        <f t="shared" si="72"/>
        <v>0.12315270935960591</v>
      </c>
      <c r="L137" s="18">
        <f>IF(ISNUMBER(J137), $B145 * K137, "")</f>
        <v>18472.906403940888</v>
      </c>
      <c r="M137" s="31">
        <v>22.1</v>
      </c>
      <c r="N137" s="32">
        <f t="shared" si="73"/>
        <v>8.8669950738916287E-2</v>
      </c>
      <c r="O137" s="18">
        <f>IF(ISNUMBER(M137), $B145 * N137, "")</f>
        <v>13300.492610837444</v>
      </c>
      <c r="Q137" s="275"/>
      <c r="R137" s="275"/>
      <c r="S137" s="275"/>
    </row>
    <row r="138" spans="1:19" ht="17.25" thickBot="1">
      <c r="A138" s="124" t="s">
        <v>236</v>
      </c>
      <c r="B138" s="125">
        <v>63.5</v>
      </c>
      <c r="C138" s="73">
        <v>-3.4954407299999997E-2</v>
      </c>
      <c r="D138" s="15">
        <v>65.5</v>
      </c>
      <c r="E138" s="32">
        <f t="shared" si="70"/>
        <v>3.1496062992125984E-2</v>
      </c>
      <c r="F138" s="18">
        <f>IF(ISNUMBER(D138), $B145 * E138, "")</f>
        <v>4724.4094488188975</v>
      </c>
      <c r="G138" s="31">
        <v>85.8</v>
      </c>
      <c r="H138" s="32">
        <f t="shared" si="71"/>
        <v>0.35118110236220468</v>
      </c>
      <c r="I138" s="97">
        <f>IF(ISNUMBER(G138), $B145 * H138, "")</f>
        <v>52677.165354330704</v>
      </c>
      <c r="J138" s="15">
        <v>95.8</v>
      </c>
      <c r="K138" s="32">
        <f t="shared" si="72"/>
        <v>0.50866141732283465</v>
      </c>
      <c r="L138" s="18">
        <f>IF(ISNUMBER(J138), $B145 * K138, "")</f>
        <v>76299.212598425191</v>
      </c>
      <c r="M138" s="31">
        <v>99.4</v>
      </c>
      <c r="N138" s="32">
        <f t="shared" si="73"/>
        <v>0.56535433070866148</v>
      </c>
      <c r="O138" s="18">
        <f>IF(ISNUMBER(M138), $B145 * N138, "")</f>
        <v>84803.149606299223</v>
      </c>
      <c r="Q138" s="270"/>
      <c r="R138" s="270"/>
      <c r="S138" s="270"/>
    </row>
    <row r="139" spans="1:19" ht="17.25" thickBot="1">
      <c r="A139" s="126" t="s">
        <v>266</v>
      </c>
      <c r="B139" s="127">
        <v>90.8</v>
      </c>
      <c r="C139" s="74">
        <v>-3.8135593199999998E-2</v>
      </c>
      <c r="D139" s="20">
        <v>89.9</v>
      </c>
      <c r="E139" s="21">
        <f t="shared" si="70"/>
        <v>-9.9118942731276603E-3</v>
      </c>
      <c r="F139" s="22">
        <f>IF(ISNUMBER(D139), $B145 * E139, "")</f>
        <v>-1486.7841409691491</v>
      </c>
      <c r="G139" s="30">
        <v>92</v>
      </c>
      <c r="H139" s="21">
        <f t="shared" si="71"/>
        <v>1.3215859030837036E-2</v>
      </c>
      <c r="I139" s="101">
        <f>IF(ISNUMBER(G139), $B145 * H139, "")</f>
        <v>1982.3788546255555</v>
      </c>
      <c r="J139" s="20">
        <v>91.8</v>
      </c>
      <c r="K139" s="21">
        <f t="shared" si="72"/>
        <v>1.1013215859030838E-2</v>
      </c>
      <c r="L139" s="22">
        <f>IF(ISNUMBER(J139), $B145 * K139, "")</f>
        <v>1651.9823788546257</v>
      </c>
      <c r="M139" s="30">
        <v>92.3</v>
      </c>
      <c r="N139" s="21">
        <f t="shared" si="73"/>
        <v>1.6519823788546256E-2</v>
      </c>
      <c r="O139" s="22">
        <f>IF(ISNUMBER(M139), $B145 * N139, "")</f>
        <v>2477.9735682819382</v>
      </c>
      <c r="Q139" s="270"/>
      <c r="R139" s="270"/>
      <c r="S139" s="270"/>
    </row>
    <row r="140" spans="1:19" ht="17.25" thickBot="1">
      <c r="A140" s="124" t="s">
        <v>154</v>
      </c>
      <c r="B140" s="128">
        <v>20.100000000000001</v>
      </c>
      <c r="C140" s="76">
        <v>-3.8277512E-2</v>
      </c>
      <c r="D140" s="102">
        <v>18.899999999999999</v>
      </c>
      <c r="E140" s="103">
        <f>IF(ISNUMBER(D140), (D140 - $B140) / $B140, "")</f>
        <v>-5.970149253731357E-2</v>
      </c>
      <c r="F140" s="104">
        <f>IF(ISNUMBER(D140), $B145 * E140, "")</f>
        <v>-8955.2238805970355</v>
      </c>
      <c r="G140" s="105">
        <v>20</v>
      </c>
      <c r="H140" s="103">
        <f>IF(ISNUMBER(G140), (G140 - $B140) / $B140, "")</f>
        <v>-4.9751243781095229E-3</v>
      </c>
      <c r="I140" s="106">
        <f>IF(ISNUMBER(G140), $B145 * H140, "")</f>
        <v>-746.26865671642838</v>
      </c>
      <c r="J140" s="102">
        <v>20.2</v>
      </c>
      <c r="K140" s="103">
        <f>IF(ISNUMBER(J140), (J140 - $B140) / $B140, "")</f>
        <v>4.975124378109346E-3</v>
      </c>
      <c r="L140" s="104">
        <f>IF(ISNUMBER(J140), $B145 * K140, "")</f>
        <v>746.26865671640189</v>
      </c>
      <c r="M140" s="105">
        <v>20</v>
      </c>
      <c r="N140" s="103">
        <f>IF(ISNUMBER(M140), (M140 - $B140) / $B140, "")</f>
        <v>-4.9751243781095229E-3</v>
      </c>
      <c r="O140" s="104">
        <f>IF(ISNUMBER(M140), $B145 * N140, "")</f>
        <v>-746.26865671642838</v>
      </c>
      <c r="Q140" s="275"/>
      <c r="R140" s="275"/>
      <c r="S140" s="275"/>
    </row>
    <row r="141" spans="1:19" ht="17.25" thickBot="1">
      <c r="A141" s="124" t="s">
        <v>152</v>
      </c>
      <c r="B141" s="125">
        <v>46.4</v>
      </c>
      <c r="C141" s="73">
        <v>-3.9337474099999999E-2</v>
      </c>
      <c r="D141" s="15">
        <v>42.9</v>
      </c>
      <c r="E141" s="32">
        <f t="shared" ref="E141:E144" si="74">IF(ISNUMBER(D141), (D141 - $B141) / $B141, "")</f>
        <v>-7.5431034482758619E-2</v>
      </c>
      <c r="F141" s="18">
        <f>IF(ISNUMBER(D141), $B145 * E141, "")</f>
        <v>-11314.655172413793</v>
      </c>
      <c r="G141" s="31">
        <v>45</v>
      </c>
      <c r="H141" s="32">
        <f t="shared" ref="H141:H144" si="75">IF(ISNUMBER(G141), (G141 - $B141) / $B141, "")</f>
        <v>-3.0172413793103418E-2</v>
      </c>
      <c r="I141" s="97">
        <f>IF(ISNUMBER(G141), $B145 * H141, "")</f>
        <v>-4525.8620689655127</v>
      </c>
      <c r="J141" s="15">
        <v>44.7</v>
      </c>
      <c r="K141" s="32">
        <f t="shared" ref="K141:K144" si="76">IF(ISNUMBER(J141), (J141 - $B141) / $B141, "")</f>
        <v>-3.6637931034482665E-2</v>
      </c>
      <c r="L141" s="18">
        <f>IF(ISNUMBER(J141), $B145 * K141, "")</f>
        <v>-5495.6896551723994</v>
      </c>
      <c r="M141" s="31">
        <v>44.9</v>
      </c>
      <c r="N141" s="32">
        <f t="shared" ref="N141:N144" si="77">IF(ISNUMBER(M141), (M141 - $B141) / $B141, "")</f>
        <v>-3.2327586206896554E-2</v>
      </c>
      <c r="O141" s="18">
        <f>IF(ISNUMBER(M141), $B145 * N141, "")</f>
        <v>-4849.1379310344828</v>
      </c>
      <c r="Q141" s="275"/>
      <c r="R141" s="275"/>
      <c r="S141" s="275"/>
    </row>
    <row r="142" spans="1:19" ht="17.25" thickBot="1">
      <c r="A142" s="124" t="s">
        <v>220</v>
      </c>
      <c r="B142" s="125">
        <v>19.5</v>
      </c>
      <c r="C142" s="73">
        <v>-3.9408867E-2</v>
      </c>
      <c r="D142" s="15">
        <v>18</v>
      </c>
      <c r="E142" s="32">
        <f t="shared" si="74"/>
        <v>-7.6923076923076927E-2</v>
      </c>
      <c r="F142" s="18">
        <f>IF(ISNUMBER(D142), $B145 * E142, "")</f>
        <v>-11538.461538461539</v>
      </c>
      <c r="G142" s="31">
        <v>19</v>
      </c>
      <c r="H142" s="32">
        <f t="shared" si="75"/>
        <v>-2.564102564102564E-2</v>
      </c>
      <c r="I142" s="97">
        <f>IF(ISNUMBER(G142), $B145 * H142, "")</f>
        <v>-3846.1538461538462</v>
      </c>
      <c r="J142" s="15">
        <v>19.100000000000001</v>
      </c>
      <c r="K142" s="32">
        <f t="shared" si="76"/>
        <v>-2.051282051282044E-2</v>
      </c>
      <c r="L142" s="18">
        <f>IF(ISNUMBER(J142), $B145 * K142, "")</f>
        <v>-3076.9230769230662</v>
      </c>
      <c r="M142" s="31">
        <v>18.899999999999999</v>
      </c>
      <c r="N142" s="32">
        <f t="shared" si="77"/>
        <v>-3.0769230769230844E-2</v>
      </c>
      <c r="O142" s="18">
        <f>IF(ISNUMBER(M142), $B145 * N142, "")</f>
        <v>-4615.3846153846262</v>
      </c>
      <c r="Q142" s="275"/>
      <c r="R142" s="275"/>
      <c r="S142" s="275"/>
    </row>
    <row r="143" spans="1:19">
      <c r="A143" s="124" t="s">
        <v>100</v>
      </c>
      <c r="B143" s="125">
        <v>8.66</v>
      </c>
      <c r="C143" s="73">
        <v>-3.9911308200000002E-2</v>
      </c>
      <c r="D143" s="15">
        <v>8.17</v>
      </c>
      <c r="E143" s="32">
        <f t="shared" si="74"/>
        <v>-5.6581986143187088E-2</v>
      </c>
      <c r="F143" s="18">
        <f>IF(ISNUMBER(D143), $B145 * E143, "")</f>
        <v>-8487.2979214780626</v>
      </c>
      <c r="G143" s="31">
        <v>8.3000000000000007</v>
      </c>
      <c r="H143" s="32">
        <f t="shared" si="75"/>
        <v>-4.1570438799076147E-2</v>
      </c>
      <c r="I143" s="97">
        <f>IF(ISNUMBER(G143), $B145 * H143, "")</f>
        <v>-6235.5658198614219</v>
      </c>
      <c r="J143" s="15">
        <v>8.2799999999999994</v>
      </c>
      <c r="K143" s="32">
        <f t="shared" si="76"/>
        <v>-4.3879907621247202E-2</v>
      </c>
      <c r="L143" s="18">
        <f>IF(ISNUMBER(J143), $B145 * K143, "")</f>
        <v>-6581.9861431870804</v>
      </c>
      <c r="M143" s="31">
        <v>8.2899999999999991</v>
      </c>
      <c r="N143" s="32">
        <f t="shared" si="77"/>
        <v>-4.2725173210161775E-2</v>
      </c>
      <c r="O143" s="18">
        <f>IF(ISNUMBER(M143), $B145 * N143, "")</f>
        <v>-6408.7759815242662</v>
      </c>
      <c r="Q143" s="297"/>
      <c r="R143" s="298"/>
      <c r="S143" s="299"/>
    </row>
    <row r="144" spans="1:19" ht="17.25" thickBot="1">
      <c r="A144" s="129"/>
      <c r="B144" s="130"/>
      <c r="C144" s="75"/>
      <c r="D144" s="24"/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00"/>
      <c r="R144" s="301"/>
      <c r="S144" s="302"/>
    </row>
    <row r="145" spans="1:19" ht="17.25" thickBot="1">
      <c r="A145" s="131" t="s">
        <v>301</v>
      </c>
      <c r="B145" s="308">
        <f>$B$37</f>
        <v>150000</v>
      </c>
      <c r="C145" s="309"/>
      <c r="D145" s="26" t="s">
        <v>302</v>
      </c>
      <c r="E145" s="27">
        <f>IF(COUNT(E125:E144), SUM(E125:E144) / COUNT(E125:E144), 0)</f>
        <v>-5.0332527866735768E-2</v>
      </c>
      <c r="F145" s="28">
        <f>SUM(F125:F144)</f>
        <v>-143447.70442019694</v>
      </c>
      <c r="G145" s="26" t="s">
        <v>302</v>
      </c>
      <c r="H145" s="27">
        <f>IF(COUNT(H125:H144), SUM(H125:H144) / COUNT(H125:H144), 0)</f>
        <v>1.8762102218474824E-2</v>
      </c>
      <c r="I145" s="28">
        <f>SUM(I125:I144)</f>
        <v>53471.991322653252</v>
      </c>
      <c r="J145" s="26" t="s">
        <v>302</v>
      </c>
      <c r="K145" s="27">
        <f>IF(COUNT(K125:K144), SUM(K125:K144) / COUNT(K125:K144), 0)</f>
        <v>3.9033730503513053E-2</v>
      </c>
      <c r="L145" s="28">
        <f>SUM(L125:L144)</f>
        <v>111246.13193501218</v>
      </c>
      <c r="M145" s="26" t="s">
        <v>302</v>
      </c>
      <c r="N145" s="27">
        <f>IF(COUNT(N125:N144), SUM(N125:N144) / COUNT(N125:N144), 0)</f>
        <v>3.3938898284602684E-2</v>
      </c>
      <c r="O145" s="28">
        <f>SUM(O125:O144)</f>
        <v>96725.860111117683</v>
      </c>
      <c r="Q145" s="303"/>
      <c r="R145" s="304"/>
      <c r="S145" s="305"/>
    </row>
    <row r="147" spans="1:19" ht="17.25" thickBot="1"/>
    <row r="148" spans="1:19" ht="17.25" thickBot="1">
      <c r="A148" s="249" t="s">
        <v>289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1"/>
      <c r="Q148" s="270"/>
      <c r="R148" s="270"/>
      <c r="S148" s="270"/>
    </row>
    <row r="149" spans="1:19" ht="17.25" thickBot="1">
      <c r="A149" s="186" t="s">
        <v>298</v>
      </c>
      <c r="B149" s="249" t="s">
        <v>49</v>
      </c>
      <c r="C149" s="251"/>
      <c r="D149" s="249" t="s">
        <v>58</v>
      </c>
      <c r="E149" s="250"/>
      <c r="F149" s="251"/>
      <c r="G149" s="276">
        <f>_xlfn.IFNA(VLOOKUP(B149, 현재가테이블!$B$2:$D$200, 2, FALSE), "-")</f>
        <v>60874000</v>
      </c>
      <c r="H149" s="277"/>
      <c r="I149" s="278"/>
      <c r="J149" s="249" t="s">
        <v>59</v>
      </c>
      <c r="K149" s="250"/>
      <c r="L149" s="251"/>
      <c r="M149" s="279">
        <f>_xlfn.IFNA(VLOOKUP(B149, 현재가테이블!$B$2:$D$200, 3, FALSE), "-")</f>
        <v>-1.4936000099999999E-2</v>
      </c>
      <c r="N149" s="280"/>
      <c r="O149" s="281"/>
      <c r="Q149" s="270"/>
      <c r="R149" s="270"/>
      <c r="S149" s="270"/>
    </row>
    <row r="150" spans="1:19" ht="17.25" thickBot="1">
      <c r="A150" s="310" t="s">
        <v>55</v>
      </c>
      <c r="B150" s="312" t="str">
        <f>TEXT($G$1, "[$-ko-KR]yyyy-mm-dd(ddd) ") &amp; "오전 00:00"</f>
        <v>2021-05-11(화) 오전 00:00</v>
      </c>
      <c r="C150" s="313"/>
      <c r="D150" s="272" t="str">
        <f>TEXT($G$1, "[$-ko-KR]yyyy-mm-dd(ddd) ") &amp; "오후 14:00"</f>
        <v>2021-05-11(화) 오후 14:00</v>
      </c>
      <c r="E150" s="273"/>
      <c r="F150" s="274"/>
      <c r="G150" s="272" t="str">
        <f>TEXT($G$1, "[$-ko-KR]yyyy-mm-dd(ddd) ") &amp; "오후 19:00"</f>
        <v>2021-05-11(화) 오후 19:00</v>
      </c>
      <c r="H150" s="273"/>
      <c r="I150" s="274"/>
      <c r="J150" s="272" t="str">
        <f>TEXT($G$1, "[$-ko-KR]yyyy-mm-dd(ddd) ") &amp; "오후 21:00"</f>
        <v>2021-05-11(화) 오후 21:00</v>
      </c>
      <c r="K150" s="273"/>
      <c r="L150" s="274"/>
      <c r="M150" s="272" t="str">
        <f>TEXT($G$1+1, "[$-ko-KR]yyyy-mm-dd(ddd) ") &amp; "오전 00:00"</f>
        <v>2021-05-12(수) 오전 00:00</v>
      </c>
      <c r="N150" s="273"/>
      <c r="O150" s="274"/>
      <c r="Q150" s="270"/>
      <c r="R150" s="270"/>
      <c r="S150" s="270"/>
    </row>
    <row r="151" spans="1:19" ht="17.25" thickBot="1">
      <c r="A151" s="311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92" t="s">
        <v>58</v>
      </c>
      <c r="H151" s="193" t="s">
        <v>299</v>
      </c>
      <c r="I151" s="19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75"/>
      <c r="R151" s="275"/>
      <c r="S151" s="275"/>
    </row>
    <row r="152" spans="1:19" ht="17.25" thickBot="1">
      <c r="A152" s="122" t="s">
        <v>200</v>
      </c>
      <c r="B152" s="123">
        <v>341</v>
      </c>
      <c r="C152" s="72">
        <v>-2.84900285E-2</v>
      </c>
      <c r="D152" s="13">
        <v>323</v>
      </c>
      <c r="E152" s="14">
        <f>IF(ISNUMBER(D152), (D152 - $B152) / $B152, "")</f>
        <v>-5.2785923753665691E-2</v>
      </c>
      <c r="F152" s="16">
        <f>IF(ISNUMBER(D152), $B172 * E152, "")</f>
        <v>-7917.8885630498535</v>
      </c>
      <c r="G152" s="29">
        <v>332</v>
      </c>
      <c r="H152" s="14">
        <f>IF(ISNUMBER(G152), (G152 - $B152) / $B152, "")</f>
        <v>-2.6392961876832845E-2</v>
      </c>
      <c r="I152" s="96">
        <f>IF(ISNUMBER(G152), $B172 * H152, "")</f>
        <v>-3958.9442815249267</v>
      </c>
      <c r="J152" s="13">
        <v>340</v>
      </c>
      <c r="K152" s="14">
        <f>IF(ISNUMBER(J152), (J152 - $B152) / $B152, "")</f>
        <v>-2.9325513196480938E-3</v>
      </c>
      <c r="L152" s="16">
        <f>IF(ISNUMBER(J152), $B172 * K152, "")</f>
        <v>-439.88269794721407</v>
      </c>
      <c r="M152" s="29">
        <v>334</v>
      </c>
      <c r="N152" s="14">
        <f>IF(ISNUMBER(M152), (M152 - $B152) / $B152, "")</f>
        <v>-2.0527859237536656E-2</v>
      </c>
      <c r="O152" s="16">
        <f>IF(ISNUMBER(M152), $B172 * N152, "")</f>
        <v>-3079.1788856304984</v>
      </c>
      <c r="Q152" s="270"/>
      <c r="R152" s="270"/>
      <c r="S152" s="270"/>
    </row>
    <row r="153" spans="1:19" ht="17.25" thickBot="1">
      <c r="A153" s="124" t="s">
        <v>250</v>
      </c>
      <c r="B153" s="125">
        <v>199</v>
      </c>
      <c r="C153" s="73">
        <v>-2.92682927E-2</v>
      </c>
      <c r="D153" s="15">
        <v>192</v>
      </c>
      <c r="E153" s="32">
        <f t="shared" ref="E153:E156" si="78">IF(ISNUMBER(D153), (D153 - $B153) / $B153, "")</f>
        <v>-3.5175879396984924E-2</v>
      </c>
      <c r="F153" s="18">
        <f>IF(ISNUMBER(D153), $B172 * E153, "")</f>
        <v>-5276.3819095477384</v>
      </c>
      <c r="G153" s="31">
        <v>196</v>
      </c>
      <c r="H153" s="32">
        <f t="shared" ref="H153:H156" si="79">IF(ISNUMBER(G153), (G153 - $B153) / $B153, "")</f>
        <v>-1.507537688442211E-2</v>
      </c>
      <c r="I153" s="97">
        <f>IF(ISNUMBER(G153), $B172 * H153, "")</f>
        <v>-2261.3065326633164</v>
      </c>
      <c r="J153" s="15">
        <v>202</v>
      </c>
      <c r="K153" s="32">
        <f t="shared" ref="K153:K156" si="80">IF(ISNUMBER(J153), (J153 - $B153) / $B153, "")</f>
        <v>1.507537688442211E-2</v>
      </c>
      <c r="L153" s="18">
        <f>IF(ISNUMBER(J153), $B172 * K153, "")</f>
        <v>2261.3065326633164</v>
      </c>
      <c r="M153" s="31">
        <v>201</v>
      </c>
      <c r="N153" s="32">
        <f t="shared" ref="N153:N156" si="81">IF(ISNUMBER(M153), (M153 - $B153) / $B153, "")</f>
        <v>1.0050251256281407E-2</v>
      </c>
      <c r="O153" s="18">
        <f>IF(ISNUMBER(M153), $B172 * N153, "")</f>
        <v>1507.537688442211</v>
      </c>
      <c r="Q153" s="270"/>
      <c r="R153" s="270"/>
      <c r="S153" s="270"/>
    </row>
    <row r="154" spans="1:19" ht="17.25" thickBot="1">
      <c r="A154" s="124" t="s">
        <v>202</v>
      </c>
      <c r="B154" s="125">
        <v>195</v>
      </c>
      <c r="C154" s="73">
        <v>-2.9850746300000001E-2</v>
      </c>
      <c r="D154" s="15">
        <v>183</v>
      </c>
      <c r="E154" s="32">
        <f t="shared" si="78"/>
        <v>-6.1538461538461542E-2</v>
      </c>
      <c r="F154" s="18">
        <f>IF(ISNUMBER(D154), $B172 * E154, "")</f>
        <v>-9230.7692307692305</v>
      </c>
      <c r="G154" s="31">
        <v>189</v>
      </c>
      <c r="H154" s="32">
        <f t="shared" si="79"/>
        <v>-3.0769230769230771E-2</v>
      </c>
      <c r="I154" s="97">
        <f>IF(ISNUMBER(G154), $B172 * H154, "")</f>
        <v>-4615.3846153846152</v>
      </c>
      <c r="J154" s="15">
        <v>194</v>
      </c>
      <c r="K154" s="32">
        <f t="shared" si="80"/>
        <v>-5.1282051282051282E-3</v>
      </c>
      <c r="L154" s="18">
        <f>IF(ISNUMBER(J154), $B172 * K154, "")</f>
        <v>-769.23076923076928</v>
      </c>
      <c r="M154" s="31">
        <v>189</v>
      </c>
      <c r="N154" s="32">
        <f t="shared" si="81"/>
        <v>-3.0769230769230771E-2</v>
      </c>
      <c r="O154" s="18">
        <f>IF(ISNUMBER(M154), $B172 * N154, "")</f>
        <v>-4615.3846153846152</v>
      </c>
      <c r="Q154" s="275"/>
      <c r="R154" s="275"/>
      <c r="S154" s="275"/>
    </row>
    <row r="155" spans="1:19" ht="17.25" thickBot="1">
      <c r="A155" s="124" t="s">
        <v>230</v>
      </c>
      <c r="B155" s="125">
        <v>160</v>
      </c>
      <c r="C155" s="73">
        <v>-3.0303030299999999E-2</v>
      </c>
      <c r="D155" s="15">
        <v>155</v>
      </c>
      <c r="E155" s="32">
        <f t="shared" si="78"/>
        <v>-3.125E-2</v>
      </c>
      <c r="F155" s="18">
        <f>IF(ISNUMBER(D155), $B172 * E155, "")</f>
        <v>-4687.5</v>
      </c>
      <c r="G155" s="31">
        <v>159</v>
      </c>
      <c r="H155" s="32">
        <f t="shared" si="79"/>
        <v>-6.2500000000000003E-3</v>
      </c>
      <c r="I155" s="97">
        <f>IF(ISNUMBER(G155), $B172 * H155, "")</f>
        <v>-937.5</v>
      </c>
      <c r="J155" s="15">
        <v>162</v>
      </c>
      <c r="K155" s="32">
        <f t="shared" si="80"/>
        <v>1.2500000000000001E-2</v>
      </c>
      <c r="L155" s="18">
        <f>IF(ISNUMBER(J155), $B172 * K155, "")</f>
        <v>1875</v>
      </c>
      <c r="M155" s="31">
        <v>164</v>
      </c>
      <c r="N155" s="32">
        <f t="shared" si="81"/>
        <v>2.5000000000000001E-2</v>
      </c>
      <c r="O155" s="18">
        <f>IF(ISNUMBER(M155), $B172 * N155, "")</f>
        <v>3750</v>
      </c>
      <c r="Q155" s="275"/>
      <c r="R155" s="275"/>
      <c r="S155" s="275"/>
    </row>
    <row r="156" spans="1:19" ht="17.25" thickBot="1">
      <c r="A156" s="126" t="s">
        <v>252</v>
      </c>
      <c r="B156" s="127">
        <v>537</v>
      </c>
      <c r="C156" s="74">
        <v>-3.4172661899999998E-2</v>
      </c>
      <c r="D156" s="20">
        <v>494</v>
      </c>
      <c r="E156" s="21">
        <f t="shared" si="78"/>
        <v>-8.0074487895716945E-2</v>
      </c>
      <c r="F156" s="22">
        <f>IF(ISNUMBER(D156), $B172 * E156, "")</f>
        <v>-12011.173184357542</v>
      </c>
      <c r="G156" s="30">
        <v>517</v>
      </c>
      <c r="H156" s="21">
        <f t="shared" si="79"/>
        <v>-3.7243947858473E-2</v>
      </c>
      <c r="I156" s="101">
        <f>IF(ISNUMBER(G156), $B172 * H156, "")</f>
        <v>-5586.5921787709503</v>
      </c>
      <c r="J156" s="20">
        <v>518</v>
      </c>
      <c r="K156" s="21">
        <f t="shared" si="80"/>
        <v>-3.5381750465549346E-2</v>
      </c>
      <c r="L156" s="22">
        <f>IF(ISNUMBER(J156), $B172 * K156, "")</f>
        <v>-5307.2625698324018</v>
      </c>
      <c r="M156" s="30">
        <v>517</v>
      </c>
      <c r="N156" s="21">
        <f t="shared" si="81"/>
        <v>-3.7243947858473E-2</v>
      </c>
      <c r="O156" s="22">
        <f>IF(ISNUMBER(M156), $B172 * N156, "")</f>
        <v>-5586.5921787709503</v>
      </c>
      <c r="Q156" s="275"/>
      <c r="R156" s="275"/>
      <c r="S156" s="275"/>
    </row>
    <row r="157" spans="1:19" ht="17.25" thickBot="1">
      <c r="A157" s="124" t="s">
        <v>112</v>
      </c>
      <c r="B157" s="128">
        <v>253</v>
      </c>
      <c r="C157" s="76">
        <v>-3.4351145E-2</v>
      </c>
      <c r="D157" s="102">
        <v>241</v>
      </c>
      <c r="E157" s="103">
        <f>IF(ISNUMBER(D157), (D157 - $B157) / $B157, "")</f>
        <v>-4.7430830039525688E-2</v>
      </c>
      <c r="F157" s="104">
        <f>IF(ISNUMBER(D157), $B172 * E157, "")</f>
        <v>-7114.6245059288531</v>
      </c>
      <c r="G157" s="105">
        <v>247</v>
      </c>
      <c r="H157" s="103">
        <f>IF(ISNUMBER(G157), (G157 - $B157) / $B157, "")</f>
        <v>-2.3715415019762844E-2</v>
      </c>
      <c r="I157" s="106">
        <f>IF(ISNUMBER(G157), $B172 * H157, "")</f>
        <v>-3557.3122529644265</v>
      </c>
      <c r="J157" s="102">
        <v>257</v>
      </c>
      <c r="K157" s="103">
        <f>IF(ISNUMBER(J157), (J157 - $B157) / $B157, "")</f>
        <v>1.5810276679841896E-2</v>
      </c>
      <c r="L157" s="104">
        <f>IF(ISNUMBER(J157), $B172 * K157, "")</f>
        <v>2371.5415019762845</v>
      </c>
      <c r="M157" s="105">
        <v>252</v>
      </c>
      <c r="N157" s="103">
        <f>IF(ISNUMBER(M157), (M157 - $B157) / $B157, "")</f>
        <v>-3.952569169960474E-3</v>
      </c>
      <c r="O157" s="104">
        <f>IF(ISNUMBER(M157), $B172 * N157, "")</f>
        <v>-592.88537549407113</v>
      </c>
      <c r="Q157" s="275"/>
      <c r="R157" s="275"/>
      <c r="S157" s="275"/>
    </row>
    <row r="158" spans="1:19" ht="17.25" thickBot="1">
      <c r="A158" s="124" t="s">
        <v>256</v>
      </c>
      <c r="B158" s="125">
        <v>244</v>
      </c>
      <c r="C158" s="73">
        <v>-3.5573122499999998E-2</v>
      </c>
      <c r="D158" s="15">
        <v>222</v>
      </c>
      <c r="E158" s="32">
        <f t="shared" ref="E158:E161" si="82">IF(ISNUMBER(D158), (D158 - $B158) / $B158, "")</f>
        <v>-9.0163934426229511E-2</v>
      </c>
      <c r="F158" s="18">
        <f>IF(ISNUMBER(D158), $B172 * E158, "")</f>
        <v>-13524.590163934427</v>
      </c>
      <c r="G158" s="31">
        <v>231</v>
      </c>
      <c r="H158" s="32">
        <f t="shared" ref="H158:H161" si="83">IF(ISNUMBER(G158), (G158 - $B158) / $B158, "")</f>
        <v>-5.3278688524590161E-2</v>
      </c>
      <c r="I158" s="97">
        <f>IF(ISNUMBER(G158), $B172 * H158, "")</f>
        <v>-7991.8032786885242</v>
      </c>
      <c r="J158" s="15">
        <v>238</v>
      </c>
      <c r="K158" s="32">
        <f t="shared" ref="K158:K161" si="84">IF(ISNUMBER(J158), (J158 - $B158) / $B158, "")</f>
        <v>-2.4590163934426229E-2</v>
      </c>
      <c r="L158" s="18">
        <f>IF(ISNUMBER(J158), $B172 * K158, "")</f>
        <v>-3688.5245901639341</v>
      </c>
      <c r="M158" s="31">
        <v>236</v>
      </c>
      <c r="N158" s="32">
        <f t="shared" ref="N158:N161" si="85">IF(ISNUMBER(M158), (M158 - $B158) / $B158, "")</f>
        <v>-3.2786885245901641E-2</v>
      </c>
      <c r="O158" s="18">
        <f>IF(ISNUMBER(M158), $B172 * N158, "")</f>
        <v>-4918.0327868852464</v>
      </c>
      <c r="Q158" s="275"/>
      <c r="R158" s="275"/>
      <c r="S158" s="275"/>
    </row>
    <row r="159" spans="1:19" ht="17.25" thickBot="1">
      <c r="A159" s="124" t="s">
        <v>208</v>
      </c>
      <c r="B159" s="125">
        <v>474</v>
      </c>
      <c r="C159" s="73">
        <v>-3.65853659E-2</v>
      </c>
      <c r="D159" s="15">
        <v>435</v>
      </c>
      <c r="E159" s="32">
        <f t="shared" si="82"/>
        <v>-8.2278481012658222E-2</v>
      </c>
      <c r="F159" s="18">
        <f>IF(ISNUMBER(D159), $B172 * E159, "")</f>
        <v>-12341.772151898733</v>
      </c>
      <c r="G159" s="31">
        <v>447</v>
      </c>
      <c r="H159" s="32">
        <f t="shared" si="83"/>
        <v>-5.6962025316455694E-2</v>
      </c>
      <c r="I159" s="97">
        <f>IF(ISNUMBER(G159), $B172 * H159, "")</f>
        <v>-8544.3037974683539</v>
      </c>
      <c r="J159" s="15">
        <v>455</v>
      </c>
      <c r="K159" s="32">
        <f t="shared" si="84"/>
        <v>-4.0084388185654012E-2</v>
      </c>
      <c r="L159" s="18">
        <f>IF(ISNUMBER(J159), $B172 * K159, "")</f>
        <v>-6012.6582278481019</v>
      </c>
      <c r="M159" s="31">
        <v>461</v>
      </c>
      <c r="N159" s="32">
        <f t="shared" si="85"/>
        <v>-2.7426160337552744E-2</v>
      </c>
      <c r="O159" s="18">
        <f>IF(ISNUMBER(M159), $B172 * N159, "")</f>
        <v>-4113.9240506329115</v>
      </c>
      <c r="Q159" s="275"/>
      <c r="R159" s="275"/>
      <c r="S159" s="275"/>
    </row>
    <row r="160" spans="1:19" ht="17.25" thickBot="1">
      <c r="A160" s="124" t="s">
        <v>232</v>
      </c>
      <c r="B160" s="125">
        <v>173</v>
      </c>
      <c r="C160" s="73">
        <v>-3.8888888900000002E-2</v>
      </c>
      <c r="D160" s="15">
        <v>162</v>
      </c>
      <c r="E160" s="32">
        <f t="shared" si="82"/>
        <v>-6.358381502890173E-2</v>
      </c>
      <c r="F160" s="18">
        <f>IF(ISNUMBER(D160), $B172 * E160, "")</f>
        <v>-9537.5722543352604</v>
      </c>
      <c r="G160" s="31">
        <v>168</v>
      </c>
      <c r="H160" s="32">
        <f t="shared" si="83"/>
        <v>-2.8901734104046242E-2</v>
      </c>
      <c r="I160" s="97">
        <f>IF(ISNUMBER(G160), $B172 * H160, "")</f>
        <v>-4335.2601156069368</v>
      </c>
      <c r="J160" s="15">
        <v>173</v>
      </c>
      <c r="K160" s="32">
        <f t="shared" si="84"/>
        <v>0</v>
      </c>
      <c r="L160" s="18">
        <f>IF(ISNUMBER(J160), $B172 * K160, "")</f>
        <v>0</v>
      </c>
      <c r="M160" s="31">
        <v>169</v>
      </c>
      <c r="N160" s="32">
        <f t="shared" si="85"/>
        <v>-2.3121387283236993E-2</v>
      </c>
      <c r="O160" s="18">
        <f>IF(ISNUMBER(M160), $B172 * N160, "")</f>
        <v>-3468.2080924855491</v>
      </c>
      <c r="Q160" s="33"/>
      <c r="R160" s="33"/>
    </row>
    <row r="161" spans="1:19" ht="17.25" thickBot="1">
      <c r="A161" s="129" t="s">
        <v>246</v>
      </c>
      <c r="B161" s="130">
        <v>364</v>
      </c>
      <c r="C161" s="75">
        <v>-3.9577836399999997E-2</v>
      </c>
      <c r="D161" s="24">
        <v>340</v>
      </c>
      <c r="E161" s="25">
        <f t="shared" si="82"/>
        <v>-6.5934065934065936E-2</v>
      </c>
      <c r="F161" s="100">
        <f>IF(ISNUMBER(D161), $B172 * E161, "")</f>
        <v>-9890.1098901098903</v>
      </c>
      <c r="G161" s="98">
        <v>364</v>
      </c>
      <c r="H161" s="25">
        <f t="shared" si="83"/>
        <v>0</v>
      </c>
      <c r="I161" s="99">
        <f>IF(ISNUMBER(G161), $B172 * H161, "")</f>
        <v>0</v>
      </c>
      <c r="J161" s="24">
        <v>366</v>
      </c>
      <c r="K161" s="25">
        <f t="shared" si="84"/>
        <v>5.4945054945054949E-3</v>
      </c>
      <c r="L161" s="100">
        <f>IF(ISNUMBER(J161), $B172 * K161, "")</f>
        <v>824.17582417582423</v>
      </c>
      <c r="M161" s="98">
        <v>359</v>
      </c>
      <c r="N161" s="25">
        <f t="shared" si="85"/>
        <v>-1.3736263736263736E-2</v>
      </c>
      <c r="O161" s="100">
        <f>IF(ISNUMBER(M161), $B172 * N161, "")</f>
        <v>-2060.4395604395604</v>
      </c>
      <c r="Q161" s="284"/>
      <c r="R161" s="285"/>
      <c r="S161" s="286"/>
    </row>
    <row r="162" spans="1:19">
      <c r="A162" s="122" t="s">
        <v>264</v>
      </c>
      <c r="B162" s="123">
        <v>169</v>
      </c>
      <c r="C162" s="72">
        <v>-3.9772727299999998E-2</v>
      </c>
      <c r="D162" s="13">
        <v>155</v>
      </c>
      <c r="E162" s="14">
        <f>IF(ISNUMBER(D162), (D162 - $B162) / $B162, "")</f>
        <v>-8.2840236686390539E-2</v>
      </c>
      <c r="F162" s="16">
        <f>IF(ISNUMBER(D162), $B172 * E162, "")</f>
        <v>-12426.035502958581</v>
      </c>
      <c r="G162" s="29">
        <v>162</v>
      </c>
      <c r="H162" s="14">
        <f>IF(ISNUMBER(G162), (G162 - $B162) / $B162, "")</f>
        <v>-4.142011834319527E-2</v>
      </c>
      <c r="I162" s="96">
        <f>IF(ISNUMBER(G162), $B172 * H162, "")</f>
        <v>-6213.0177514792904</v>
      </c>
      <c r="J162" s="13">
        <v>162</v>
      </c>
      <c r="K162" s="14">
        <f>IF(ISNUMBER(J162), (J162 - $B162) / $B162, "")</f>
        <v>-4.142011834319527E-2</v>
      </c>
      <c r="L162" s="16">
        <f>IF(ISNUMBER(J162), $B172 * K162, "")</f>
        <v>-6213.0177514792904</v>
      </c>
      <c r="M162" s="29">
        <v>163</v>
      </c>
      <c r="N162" s="14">
        <f>IF(ISNUMBER(M162), (M162 - $B162) / $B162, "")</f>
        <v>-3.5502958579881658E-2</v>
      </c>
      <c r="O162" s="16">
        <f>IF(ISNUMBER(M162), $B172 * N162, "")</f>
        <v>-5325.4437869822486</v>
      </c>
      <c r="Q162" s="287"/>
      <c r="R162" s="288"/>
      <c r="S162" s="289"/>
    </row>
    <row r="163" spans="1:19" ht="17.25" thickBot="1">
      <c r="A163" s="124" t="s">
        <v>258</v>
      </c>
      <c r="B163" s="125">
        <v>663</v>
      </c>
      <c r="C163" s="73">
        <v>-4.19075145E-2</v>
      </c>
      <c r="D163" s="15">
        <v>634</v>
      </c>
      <c r="E163" s="32">
        <f t="shared" ref="E163:E166" si="86">IF(ISNUMBER(D163), (D163 - $B163) / $B163, "")</f>
        <v>-4.3740573152337855E-2</v>
      </c>
      <c r="F163" s="18">
        <f>IF(ISNUMBER(D163), $B172 * E163, "")</f>
        <v>-6561.0859728506784</v>
      </c>
      <c r="G163" s="31">
        <v>652</v>
      </c>
      <c r="H163" s="32">
        <f t="shared" ref="H163:H166" si="87">IF(ISNUMBER(G163), (G163 - $B163) / $B163, "")</f>
        <v>-1.6591251885369532E-2</v>
      </c>
      <c r="I163" s="97">
        <f>IF(ISNUMBER(G163), $B172 * H163, "")</f>
        <v>-2488.6877828054298</v>
      </c>
      <c r="J163" s="15">
        <v>652</v>
      </c>
      <c r="K163" s="32">
        <f t="shared" ref="K163:K166" si="88">IF(ISNUMBER(J163), (J163 - $B163) / $B163, "")</f>
        <v>-1.6591251885369532E-2</v>
      </c>
      <c r="L163" s="18">
        <f>IF(ISNUMBER(J163), $B172 * K163, "")</f>
        <v>-2488.6877828054298</v>
      </c>
      <c r="M163" s="31">
        <v>665</v>
      </c>
      <c r="N163" s="32">
        <f t="shared" ref="N163:N166" si="89">IF(ISNUMBER(M163), (M163 - $B163) / $B163, "")</f>
        <v>3.0165912518853697E-3</v>
      </c>
      <c r="O163" s="18">
        <f>IF(ISNUMBER(M163), $B172 * N163, "")</f>
        <v>452.48868778280547</v>
      </c>
      <c r="Q163" s="290"/>
      <c r="R163" s="291"/>
      <c r="S163" s="292"/>
    </row>
    <row r="164" spans="1:19" ht="17.25" thickBot="1">
      <c r="A164" s="124" t="s">
        <v>116</v>
      </c>
      <c r="B164" s="125">
        <v>637</v>
      </c>
      <c r="C164" s="73">
        <v>-4.3543543499999997E-2</v>
      </c>
      <c r="D164" s="15">
        <v>582</v>
      </c>
      <c r="E164" s="32">
        <f t="shared" si="86"/>
        <v>-8.6342229199372053E-2</v>
      </c>
      <c r="F164" s="18">
        <f>IF(ISNUMBER(D164), $B172 * E164, "")</f>
        <v>-12951.334379905808</v>
      </c>
      <c r="G164" s="31">
        <v>612</v>
      </c>
      <c r="H164" s="32">
        <f t="shared" si="87"/>
        <v>-3.924646781789639E-2</v>
      </c>
      <c r="I164" s="97">
        <f>IF(ISNUMBER(G164), $B172 * H164, "")</f>
        <v>-5886.9701726844587</v>
      </c>
      <c r="J164" s="15">
        <v>613</v>
      </c>
      <c r="K164" s="32">
        <f t="shared" si="88"/>
        <v>-3.7676609105180531E-2</v>
      </c>
      <c r="L164" s="18">
        <f>IF(ISNUMBER(J164), $B172 * K164, "")</f>
        <v>-5651.4913657770794</v>
      </c>
      <c r="M164" s="31">
        <v>608</v>
      </c>
      <c r="N164" s="32">
        <f t="shared" si="89"/>
        <v>-4.5525902668759811E-2</v>
      </c>
      <c r="O164" s="18">
        <f>IF(ISNUMBER(M164), $B172 * N164, "")</f>
        <v>-6828.8854003139713</v>
      </c>
      <c r="Q164" s="275"/>
      <c r="R164" s="275"/>
      <c r="S164" s="275"/>
    </row>
    <row r="165" spans="1:19" ht="17.25" thickBot="1">
      <c r="A165" s="124" t="s">
        <v>132</v>
      </c>
      <c r="B165" s="125">
        <v>273</v>
      </c>
      <c r="C165" s="73">
        <v>-4.5454545499999999E-2</v>
      </c>
      <c r="D165" s="15">
        <v>253</v>
      </c>
      <c r="E165" s="32">
        <f t="shared" si="86"/>
        <v>-7.3260073260073263E-2</v>
      </c>
      <c r="F165" s="18">
        <f>IF(ISNUMBER(D165), $B172 * E165, "")</f>
        <v>-10989.010989010989</v>
      </c>
      <c r="G165" s="31">
        <v>263</v>
      </c>
      <c r="H165" s="32">
        <f t="shared" si="87"/>
        <v>-3.6630036630036632E-2</v>
      </c>
      <c r="I165" s="97">
        <f>IF(ISNUMBER(G165), $B172 * H165, "")</f>
        <v>-5494.5054945054944</v>
      </c>
      <c r="J165" s="15">
        <v>258</v>
      </c>
      <c r="K165" s="32">
        <f t="shared" si="88"/>
        <v>-5.4945054945054944E-2</v>
      </c>
      <c r="L165" s="18">
        <f>IF(ISNUMBER(J165), $B172 * K165, "")</f>
        <v>-8241.7582417582416</v>
      </c>
      <c r="M165" s="31">
        <v>254</v>
      </c>
      <c r="N165" s="32">
        <f t="shared" si="89"/>
        <v>-6.95970695970696E-2</v>
      </c>
      <c r="O165" s="18">
        <f>IF(ISNUMBER(M165), $B172 * N165, "")</f>
        <v>-10439.56043956044</v>
      </c>
      <c r="Q165" s="270"/>
      <c r="R165" s="270"/>
      <c r="S165" s="270"/>
    </row>
    <row r="166" spans="1:19" ht="17.25" thickBot="1">
      <c r="A166" s="126" t="s">
        <v>284</v>
      </c>
      <c r="B166" s="127">
        <v>495</v>
      </c>
      <c r="C166" s="74">
        <v>-4.9904030699999997E-2</v>
      </c>
      <c r="D166" s="20">
        <v>435</v>
      </c>
      <c r="E166" s="21">
        <f t="shared" si="86"/>
        <v>-0.12121212121212122</v>
      </c>
      <c r="F166" s="22">
        <f>IF(ISNUMBER(D166), $B172 * E166, "")</f>
        <v>-18181.818181818184</v>
      </c>
      <c r="G166" s="30">
        <v>453</v>
      </c>
      <c r="H166" s="21">
        <f t="shared" si="87"/>
        <v>-8.4848484848484854E-2</v>
      </c>
      <c r="I166" s="101">
        <f>IF(ISNUMBER(G166), $B172 * H166, "")</f>
        <v>-12727.272727272728</v>
      </c>
      <c r="J166" s="20">
        <v>456</v>
      </c>
      <c r="K166" s="21">
        <f t="shared" si="88"/>
        <v>-7.8787878787878782E-2</v>
      </c>
      <c r="L166" s="22">
        <f>IF(ISNUMBER(J166), $B172 * K166, "")</f>
        <v>-11818.181818181818</v>
      </c>
      <c r="M166" s="30">
        <v>460</v>
      </c>
      <c r="N166" s="21">
        <f t="shared" si="89"/>
        <v>-7.0707070707070704E-2</v>
      </c>
      <c r="O166" s="22">
        <f>IF(ISNUMBER(M166), $B172 * N166, "")</f>
        <v>-10606.060606060606</v>
      </c>
      <c r="Q166" s="270"/>
      <c r="R166" s="270"/>
      <c r="S166" s="270"/>
    </row>
    <row r="167" spans="1:19" ht="17.25" thickBot="1">
      <c r="A167" s="124" t="s">
        <v>128</v>
      </c>
      <c r="B167" s="128">
        <v>685</v>
      </c>
      <c r="C167" s="76">
        <v>-5.12465374E-2</v>
      </c>
      <c r="D167" s="102">
        <v>637</v>
      </c>
      <c r="E167" s="103">
        <f>IF(ISNUMBER(D167), (D167 - $B167) / $B167, "")</f>
        <v>-7.0072992700729933E-2</v>
      </c>
      <c r="F167" s="104">
        <f>IF(ISNUMBER(D167), $B172 * E167, "")</f>
        <v>-10510.94890510949</v>
      </c>
      <c r="G167" s="105">
        <v>647</v>
      </c>
      <c r="H167" s="103">
        <f>IF(ISNUMBER(G167), (G167 - $B167) / $B167, "")</f>
        <v>-5.5474452554744529E-2</v>
      </c>
      <c r="I167" s="106">
        <f>IF(ISNUMBER(G167), $B172 * H167, "")</f>
        <v>-8321.1678832116795</v>
      </c>
      <c r="J167" s="102">
        <v>643</v>
      </c>
      <c r="K167" s="103">
        <f>IF(ISNUMBER(J167), (J167 - $B167) / $B167, "")</f>
        <v>-6.1313868613138686E-2</v>
      </c>
      <c r="L167" s="104">
        <f>IF(ISNUMBER(J167), $B172 * K167, "")</f>
        <v>-9197.0802919708021</v>
      </c>
      <c r="M167" s="105">
        <v>636</v>
      </c>
      <c r="N167" s="103">
        <f>IF(ISNUMBER(M167), (M167 - $B167) / $B167, "")</f>
        <v>-7.153284671532846E-2</v>
      </c>
      <c r="O167" s="104">
        <f>IF(ISNUMBER(M167), $B172 * N167, "")</f>
        <v>-10729.927007299269</v>
      </c>
      <c r="Q167" s="275"/>
      <c r="R167" s="275"/>
      <c r="S167" s="275"/>
    </row>
    <row r="168" spans="1:19" ht="17.25" thickBot="1">
      <c r="A168" s="124" t="s">
        <v>142</v>
      </c>
      <c r="B168" s="125">
        <v>450</v>
      </c>
      <c r="C168" s="73">
        <v>-5.2631578900000003E-2</v>
      </c>
      <c r="D168" s="15">
        <v>423</v>
      </c>
      <c r="E168" s="32">
        <f t="shared" ref="E168:E171" si="90">IF(ISNUMBER(D168), (D168 - $B168) / $B168, "")</f>
        <v>-0.06</v>
      </c>
      <c r="F168" s="18">
        <f>IF(ISNUMBER(D168), $B172 * E168, "")</f>
        <v>-9000</v>
      </c>
      <c r="G168" s="31">
        <v>436</v>
      </c>
      <c r="H168" s="32">
        <f t="shared" ref="H168:H171" si="91">IF(ISNUMBER(G168), (G168 - $B168) / $B168, "")</f>
        <v>-3.111111111111111E-2</v>
      </c>
      <c r="I168" s="97">
        <f>IF(ISNUMBER(G168), $B172 * H168, "")</f>
        <v>-4666.666666666667</v>
      </c>
      <c r="J168" s="15">
        <v>435</v>
      </c>
      <c r="K168" s="32">
        <f t="shared" ref="K168:K171" si="92">IF(ISNUMBER(J168), (J168 - $B168) / $B168, "")</f>
        <v>-3.3333333333333333E-2</v>
      </c>
      <c r="L168" s="18">
        <f>IF(ISNUMBER(J168), $B172 * K168, "")</f>
        <v>-5000</v>
      </c>
      <c r="M168" s="31">
        <v>432</v>
      </c>
      <c r="N168" s="32">
        <f t="shared" ref="N168:N171" si="93">IF(ISNUMBER(M168), (M168 - $B168) / $B168, "")</f>
        <v>-0.04</v>
      </c>
      <c r="O168" s="18">
        <f>IF(ISNUMBER(M168), $B172 * N168, "")</f>
        <v>-6000</v>
      </c>
      <c r="Q168" s="275"/>
      <c r="R168" s="275"/>
      <c r="S168" s="275"/>
    </row>
    <row r="169" spans="1:19" ht="17.25" thickBot="1">
      <c r="A169" s="124" t="s">
        <v>182</v>
      </c>
      <c r="B169" s="125">
        <v>533</v>
      </c>
      <c r="C169" s="73">
        <v>-5.8303886899999997E-2</v>
      </c>
      <c r="D169" s="15">
        <v>475</v>
      </c>
      <c r="E169" s="32">
        <f t="shared" si="90"/>
        <v>-0.10881801125703565</v>
      </c>
      <c r="F169" s="18">
        <f>IF(ISNUMBER(D169), $B172 * E169, "")</f>
        <v>-16322.701688555348</v>
      </c>
      <c r="G169" s="31">
        <v>492</v>
      </c>
      <c r="H169" s="32">
        <f t="shared" si="91"/>
        <v>-7.6923076923076927E-2</v>
      </c>
      <c r="I169" s="97">
        <f>IF(ISNUMBER(G169), $B172 * H169, "")</f>
        <v>-11538.461538461539</v>
      </c>
      <c r="J169" s="15">
        <v>488</v>
      </c>
      <c r="K169" s="32">
        <f t="shared" si="92"/>
        <v>-8.4427767354596617E-2</v>
      </c>
      <c r="L169" s="18">
        <f>IF(ISNUMBER(J169), $B172 * K169, "")</f>
        <v>-12664.165103189493</v>
      </c>
      <c r="M169" s="31">
        <v>489</v>
      </c>
      <c r="N169" s="32">
        <f t="shared" si="93"/>
        <v>-8.2551594746716694E-2</v>
      </c>
      <c r="O169" s="18">
        <f>IF(ISNUMBER(M169), $B172 * N169, "")</f>
        <v>-12382.739212007504</v>
      </c>
      <c r="Q169" s="275"/>
      <c r="R169" s="275"/>
      <c r="S169" s="275"/>
    </row>
    <row r="170" spans="1:19">
      <c r="A170" s="124" t="s">
        <v>240</v>
      </c>
      <c r="B170" s="125">
        <v>172</v>
      </c>
      <c r="C170" s="73">
        <v>-6.5217391299999997E-2</v>
      </c>
      <c r="D170" s="15">
        <v>160</v>
      </c>
      <c r="E170" s="32">
        <f t="shared" si="90"/>
        <v>-6.9767441860465115E-2</v>
      </c>
      <c r="F170" s="18">
        <f>IF(ISNUMBER(D170), $B172 * E170, "")</f>
        <v>-10465.116279069767</v>
      </c>
      <c r="G170" s="31">
        <v>167</v>
      </c>
      <c r="H170" s="32">
        <f t="shared" si="91"/>
        <v>-2.9069767441860465E-2</v>
      </c>
      <c r="I170" s="97">
        <f>IF(ISNUMBER(G170), $B172 * H170, "")</f>
        <v>-4360.4651162790697</v>
      </c>
      <c r="J170" s="15">
        <v>169</v>
      </c>
      <c r="K170" s="32">
        <f t="shared" si="92"/>
        <v>-1.7441860465116279E-2</v>
      </c>
      <c r="L170" s="18">
        <f>IF(ISNUMBER(J170), $B172 * K170, "")</f>
        <v>-2616.2790697674418</v>
      </c>
      <c r="M170" s="31">
        <v>169</v>
      </c>
      <c r="N170" s="32">
        <f t="shared" si="93"/>
        <v>-1.7441860465116279E-2</v>
      </c>
      <c r="O170" s="18">
        <f>IF(ISNUMBER(M170), $B172 * N170, "")</f>
        <v>-2616.2790697674418</v>
      </c>
      <c r="Q170" s="297"/>
      <c r="R170" s="298"/>
      <c r="S170" s="299"/>
    </row>
    <row r="171" spans="1:19" ht="17.25" thickBot="1">
      <c r="A171" s="129" t="s">
        <v>296</v>
      </c>
      <c r="B171" s="130">
        <v>632</v>
      </c>
      <c r="C171" s="75">
        <v>-0.1009957326</v>
      </c>
      <c r="D171" s="24">
        <v>598</v>
      </c>
      <c r="E171" s="25">
        <f t="shared" si="90"/>
        <v>-5.3797468354430382E-2</v>
      </c>
      <c r="F171" s="100">
        <f>IF(ISNUMBER(D171), $B172 * E171, "")</f>
        <v>-8069.6202531645577</v>
      </c>
      <c r="G171" s="98">
        <v>639</v>
      </c>
      <c r="H171" s="25">
        <f t="shared" si="91"/>
        <v>1.1075949367088608E-2</v>
      </c>
      <c r="I171" s="99">
        <f>IF(ISNUMBER(G171), $B172 * H171, "")</f>
        <v>1661.3924050632911</v>
      </c>
      <c r="J171" s="24">
        <v>615</v>
      </c>
      <c r="K171" s="25">
        <f t="shared" si="92"/>
        <v>-2.6898734177215191E-2</v>
      </c>
      <c r="L171" s="100">
        <f>IF(ISNUMBER(J171), $B172 * K171, "")</f>
        <v>-4034.8101265822788</v>
      </c>
      <c r="M171" s="98">
        <v>616</v>
      </c>
      <c r="N171" s="25">
        <f t="shared" si="93"/>
        <v>-2.5316455696202531E-2</v>
      </c>
      <c r="O171" s="100">
        <f>IF(ISNUMBER(M171), $B172 * N171, "")</f>
        <v>-3797.4683544303798</v>
      </c>
      <c r="Q171" s="300"/>
      <c r="R171" s="301"/>
      <c r="S171" s="302"/>
    </row>
    <row r="172" spans="1:19" ht="17.25" thickBot="1">
      <c r="A172" s="131" t="s">
        <v>301</v>
      </c>
      <c r="B172" s="308">
        <f>$B$37</f>
        <v>150000</v>
      </c>
      <c r="C172" s="309"/>
      <c r="D172" s="26" t="s">
        <v>302</v>
      </c>
      <c r="E172" s="27">
        <f>IF(COUNT(E152:E171), SUM(E152:E171) / COUNT(E152:E171), 0)</f>
        <v>-6.9003351335458304E-2</v>
      </c>
      <c r="F172" s="28">
        <f>SUM(F152:F171)</f>
        <v>-207010.05400637494</v>
      </c>
      <c r="G172" s="26" t="s">
        <v>302</v>
      </c>
      <c r="H172" s="27">
        <f>IF(COUNT(H152:H171), SUM(H152:H171) / COUNT(H152:H171), 0)</f>
        <v>-3.3941409927125035E-2</v>
      </c>
      <c r="I172" s="28">
        <f>SUM(I152:I171)</f>
        <v>-101824.22978137511</v>
      </c>
      <c r="J172" s="26" t="s">
        <v>302</v>
      </c>
      <c r="K172" s="27">
        <f>IF(COUNT(K152:K171), SUM(K152:K171) / COUNT(K152:K171), 0)</f>
        <v>-2.5603668849239626E-2</v>
      </c>
      <c r="L172" s="28">
        <f>SUM(L152:L171)</f>
        <v>-76811.006547718862</v>
      </c>
      <c r="M172" s="26" t="s">
        <v>302</v>
      </c>
      <c r="N172" s="27">
        <f>IF(COUNT(N152:N171), SUM(N152:N171) / COUNT(N152:N171), 0)</f>
        <v>-3.0483661015306751E-2</v>
      </c>
      <c r="O172" s="28">
        <f>SUM(O152:O171)</f>
        <v>-91450.983045920249</v>
      </c>
      <c r="Q172" s="303"/>
      <c r="R172" s="304"/>
      <c r="S172" s="305"/>
    </row>
    <row r="174" spans="1:19" ht="17.25" thickBot="1"/>
    <row r="175" spans="1:19" ht="17.25" thickBot="1">
      <c r="A175" s="249" t="s">
        <v>285</v>
      </c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50"/>
      <c r="M175" s="250"/>
      <c r="N175" s="250"/>
      <c r="O175" s="251"/>
      <c r="Q175" s="270"/>
      <c r="R175" s="270"/>
      <c r="S175" s="270"/>
    </row>
    <row r="176" spans="1:19" ht="17.25" thickBot="1">
      <c r="A176" s="186" t="s">
        <v>298</v>
      </c>
      <c r="B176" s="249" t="s">
        <v>49</v>
      </c>
      <c r="C176" s="251"/>
      <c r="D176" s="249" t="s">
        <v>58</v>
      </c>
      <c r="E176" s="250"/>
      <c r="F176" s="251"/>
      <c r="G176" s="276">
        <f>_xlfn.IFNA(VLOOKUP(B176, 현재가테이블!$B$2:$D$200, 2, FALSE), "-")</f>
        <v>60874000</v>
      </c>
      <c r="H176" s="277"/>
      <c r="I176" s="278"/>
      <c r="J176" s="249" t="s">
        <v>59</v>
      </c>
      <c r="K176" s="250"/>
      <c r="L176" s="251"/>
      <c r="M176" s="279">
        <f>_xlfn.IFNA(VLOOKUP(B176, 현재가테이블!$B$2:$D$200, 3, FALSE), "-")</f>
        <v>-1.4936000099999999E-2</v>
      </c>
      <c r="N176" s="280"/>
      <c r="O176" s="281"/>
      <c r="Q176" s="270"/>
      <c r="R176" s="270"/>
      <c r="S176" s="270"/>
    </row>
    <row r="177" spans="1:19" ht="17.25" thickBot="1">
      <c r="A177" s="310" t="s">
        <v>55</v>
      </c>
      <c r="B177" s="312" t="str">
        <f>TEXT($G$1, "[$-ko-KR]yyyy-mm-dd(ddd) ") &amp; "오전 00:00"</f>
        <v>2021-05-11(화) 오전 00:00</v>
      </c>
      <c r="C177" s="313"/>
      <c r="D177" s="272" t="str">
        <f>TEXT($G$1, "[$-ko-KR]yyyy-mm-dd(ddd) ") &amp; "오후 14:00"</f>
        <v>2021-05-11(화) 오후 14:00</v>
      </c>
      <c r="E177" s="273"/>
      <c r="F177" s="274"/>
      <c r="G177" s="272" t="str">
        <f>TEXT($G$1, "[$-ko-KR]yyyy-mm-dd(ddd) ") &amp; "오후 19:00"</f>
        <v>2021-05-11(화) 오후 19:00</v>
      </c>
      <c r="H177" s="273"/>
      <c r="I177" s="274"/>
      <c r="J177" s="272" t="str">
        <f>TEXT($G$1, "[$-ko-KR]yyyy-mm-dd(ddd) ") &amp; "오후 21:00"</f>
        <v>2021-05-11(화) 오후 21:00</v>
      </c>
      <c r="K177" s="273"/>
      <c r="L177" s="274"/>
      <c r="M177" s="272" t="str">
        <f>TEXT($G$1+1, "[$-ko-KR]yyyy-mm-dd(ddd) ") &amp; "오전 00:00"</f>
        <v>2021-05-12(수) 오전 00:00</v>
      </c>
      <c r="N177" s="273"/>
      <c r="O177" s="274"/>
      <c r="Q177" s="270"/>
      <c r="R177" s="270"/>
      <c r="S177" s="270"/>
    </row>
    <row r="178" spans="1:19" ht="17.25" thickBot="1">
      <c r="A178" s="311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92" t="s">
        <v>58</v>
      </c>
      <c r="H178" s="193" t="s">
        <v>299</v>
      </c>
      <c r="I178" s="19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75"/>
      <c r="R178" s="275"/>
      <c r="S178" s="275"/>
    </row>
    <row r="179" spans="1:19" ht="17.25" thickBot="1">
      <c r="A179" s="122" t="s">
        <v>280</v>
      </c>
      <c r="B179" s="123">
        <v>1975</v>
      </c>
      <c r="C179" s="72">
        <v>-4.1262135899999997E-2</v>
      </c>
      <c r="D179" s="13">
        <v>1715</v>
      </c>
      <c r="E179" s="14">
        <f>IF(ISNUMBER(D179), (D179 - $B179) / $B179, "")</f>
        <v>-0.13164556962025317</v>
      </c>
      <c r="F179" s="16">
        <f>IF(ISNUMBER(D179), $B199 * E179, "")</f>
        <v>-19746.835443037977</v>
      </c>
      <c r="G179" s="29">
        <v>1760</v>
      </c>
      <c r="H179" s="14">
        <f>IF(ISNUMBER(G179), (G179 - $B179) / $B179, "")</f>
        <v>-0.10886075949367088</v>
      </c>
      <c r="I179" s="96">
        <f>IF(ISNUMBER(G179), $B199 * H179, "")</f>
        <v>-16329.113924050633</v>
      </c>
      <c r="J179" s="13">
        <v>1755</v>
      </c>
      <c r="K179" s="14">
        <f>IF(ISNUMBER(J179), (J179 - $B179) / $B179, "")</f>
        <v>-0.11139240506329114</v>
      </c>
      <c r="L179" s="16">
        <f>IF(ISNUMBER(J179), $B199 * K179, "")</f>
        <v>-16708.860759493669</v>
      </c>
      <c r="M179" s="29">
        <v>1765</v>
      </c>
      <c r="N179" s="14">
        <f>IF(ISNUMBER(M179), (M179 - $B179) / $B179, "")</f>
        <v>-0.10632911392405063</v>
      </c>
      <c r="O179" s="16">
        <f>IF(ISNUMBER(M179), $B199 * N179, "")</f>
        <v>-15949.367088607594</v>
      </c>
      <c r="Q179" s="270"/>
      <c r="R179" s="270"/>
      <c r="S179" s="270"/>
    </row>
    <row r="180" spans="1:19" ht="17.25" thickBot="1">
      <c r="A180" s="124" t="s">
        <v>194</v>
      </c>
      <c r="B180" s="125">
        <v>13220</v>
      </c>
      <c r="C180" s="73">
        <v>-4.13343002E-2</v>
      </c>
      <c r="D180" s="15">
        <v>12110</v>
      </c>
      <c r="E180" s="32">
        <f t="shared" ref="E180:E183" si="94">IF(ISNUMBER(D180), (D180 - $B180) / $B180, "")</f>
        <v>-8.3963691376701968E-2</v>
      </c>
      <c r="F180" s="18">
        <f>IF(ISNUMBER(D180), $B199 * E180, "")</f>
        <v>-12594.553706505296</v>
      </c>
      <c r="G180" s="31">
        <v>12520</v>
      </c>
      <c r="H180" s="32">
        <f t="shared" ref="H180:H183" si="95">IF(ISNUMBER(G180), (G180 - $B180) / $B180, "")</f>
        <v>-5.2950075642965201E-2</v>
      </c>
      <c r="I180" s="97">
        <f>IF(ISNUMBER(G180), $B199 * H180, "")</f>
        <v>-7942.5113464447804</v>
      </c>
      <c r="J180" s="15">
        <v>12890</v>
      </c>
      <c r="K180" s="32">
        <f t="shared" ref="K180:K183" si="96">IF(ISNUMBER(J180), (J180 - $B180) / $B180, "")</f>
        <v>-2.4962178517397883E-2</v>
      </c>
      <c r="L180" s="18">
        <f>IF(ISNUMBER(J180), $B199 * K180, "")</f>
        <v>-3744.3267776096823</v>
      </c>
      <c r="M180" s="31">
        <v>12820</v>
      </c>
      <c r="N180" s="32">
        <f t="shared" ref="N180:N183" si="97">IF(ISNUMBER(M180), (M180 - $B180) / $B180, "")</f>
        <v>-3.0257186081694403E-2</v>
      </c>
      <c r="O180" s="18">
        <f>IF(ISNUMBER(M180), $B199 * N180, "")</f>
        <v>-4538.5779122541608</v>
      </c>
      <c r="Q180" s="270"/>
      <c r="R180" s="270"/>
      <c r="S180" s="270"/>
    </row>
    <row r="181" spans="1:19" ht="17.25" thickBot="1">
      <c r="A181" s="124" t="s">
        <v>258</v>
      </c>
      <c r="B181" s="125">
        <v>663</v>
      </c>
      <c r="C181" s="73">
        <v>-4.19075145E-2</v>
      </c>
      <c r="D181" s="15">
        <v>634</v>
      </c>
      <c r="E181" s="32">
        <f t="shared" si="94"/>
        <v>-4.3740573152337855E-2</v>
      </c>
      <c r="F181" s="18">
        <f>IF(ISNUMBER(D181), $B199 * E181, "")</f>
        <v>-6561.0859728506784</v>
      </c>
      <c r="G181" s="31">
        <v>652</v>
      </c>
      <c r="H181" s="32">
        <f t="shared" si="95"/>
        <v>-1.6591251885369532E-2</v>
      </c>
      <c r="I181" s="97">
        <f>IF(ISNUMBER(G181), $B199 * H181, "")</f>
        <v>-2488.6877828054298</v>
      </c>
      <c r="J181" s="15">
        <v>652</v>
      </c>
      <c r="K181" s="32">
        <f t="shared" si="96"/>
        <v>-1.6591251885369532E-2</v>
      </c>
      <c r="L181" s="18">
        <f>IF(ISNUMBER(J181), $B199 * K181, "")</f>
        <v>-2488.6877828054298</v>
      </c>
      <c r="M181" s="31">
        <v>665</v>
      </c>
      <c r="N181" s="32">
        <f t="shared" si="97"/>
        <v>3.0165912518853697E-3</v>
      </c>
      <c r="O181" s="18">
        <f>IF(ISNUMBER(M181), $B199 * N181, "")</f>
        <v>452.48868778280547</v>
      </c>
      <c r="Q181" s="275"/>
      <c r="R181" s="275"/>
      <c r="S181" s="275"/>
    </row>
    <row r="182" spans="1:19" ht="17.25" thickBot="1">
      <c r="A182" s="124" t="s">
        <v>116</v>
      </c>
      <c r="B182" s="125">
        <v>637</v>
      </c>
      <c r="C182" s="73">
        <v>-4.3543543499999997E-2</v>
      </c>
      <c r="D182" s="15">
        <v>582</v>
      </c>
      <c r="E182" s="32">
        <f t="shared" si="94"/>
        <v>-8.6342229199372053E-2</v>
      </c>
      <c r="F182" s="18">
        <f>IF(ISNUMBER(D182), $B199 * E182, "")</f>
        <v>-12951.334379905808</v>
      </c>
      <c r="G182" s="31">
        <v>612</v>
      </c>
      <c r="H182" s="32">
        <f t="shared" si="95"/>
        <v>-3.924646781789639E-2</v>
      </c>
      <c r="I182" s="97">
        <f>IF(ISNUMBER(G182), $B199 * H182, "")</f>
        <v>-5886.9701726844587</v>
      </c>
      <c r="J182" s="15">
        <v>613</v>
      </c>
      <c r="K182" s="32">
        <f t="shared" si="96"/>
        <v>-3.7676609105180531E-2</v>
      </c>
      <c r="L182" s="18">
        <f>IF(ISNUMBER(J182), $B199 * K182, "")</f>
        <v>-5651.4913657770794</v>
      </c>
      <c r="M182" s="31">
        <v>608</v>
      </c>
      <c r="N182" s="32">
        <f t="shared" si="97"/>
        <v>-4.5525902668759811E-2</v>
      </c>
      <c r="O182" s="18">
        <f>IF(ISNUMBER(M182), $B199 * N182, "")</f>
        <v>-6828.8854003139713</v>
      </c>
      <c r="Q182" s="275"/>
      <c r="R182" s="275"/>
      <c r="S182" s="275"/>
    </row>
    <row r="183" spans="1:19" ht="17.25" thickBot="1">
      <c r="A183" s="126" t="s">
        <v>104</v>
      </c>
      <c r="B183" s="127">
        <v>3165</v>
      </c>
      <c r="C183" s="74">
        <v>-4.3806646499999997E-2</v>
      </c>
      <c r="D183" s="20">
        <v>2825</v>
      </c>
      <c r="E183" s="21">
        <f t="shared" si="94"/>
        <v>-0.10742496050552923</v>
      </c>
      <c r="F183" s="22">
        <f>IF(ISNUMBER(D183), $B199 * E183, "")</f>
        <v>-16113.744075829385</v>
      </c>
      <c r="G183" s="30">
        <v>2900</v>
      </c>
      <c r="H183" s="21">
        <f t="shared" si="95"/>
        <v>-8.3728278041074244E-2</v>
      </c>
      <c r="I183" s="101">
        <f>IF(ISNUMBER(G183), $B199 * H183, "")</f>
        <v>-12559.241706161136</v>
      </c>
      <c r="J183" s="20">
        <v>2855</v>
      </c>
      <c r="K183" s="21">
        <f t="shared" si="96"/>
        <v>-9.7946287519747238E-2</v>
      </c>
      <c r="L183" s="22">
        <f>IF(ISNUMBER(J183), $B199 * K183, "")</f>
        <v>-14691.943127962086</v>
      </c>
      <c r="M183" s="30">
        <v>2935</v>
      </c>
      <c r="N183" s="21">
        <f t="shared" si="97"/>
        <v>-7.266982622432859E-2</v>
      </c>
      <c r="O183" s="22">
        <f>IF(ISNUMBER(M183), $B199 * N183, "")</f>
        <v>-10900.473933649289</v>
      </c>
      <c r="Q183" s="275"/>
      <c r="R183" s="275"/>
      <c r="S183" s="275"/>
    </row>
    <row r="184" spans="1:19" ht="17.25" thickBot="1">
      <c r="A184" s="124" t="s">
        <v>114</v>
      </c>
      <c r="B184" s="128">
        <v>14020</v>
      </c>
      <c r="C184" s="76">
        <v>-4.4308111800000001E-2</v>
      </c>
      <c r="D184" s="102">
        <v>13000</v>
      </c>
      <c r="E184" s="103">
        <f>IF(ISNUMBER(D184), (D184 - $B184) / $B184, "")</f>
        <v>-7.2753209700427965E-2</v>
      </c>
      <c r="F184" s="104">
        <f>IF(ISNUMBER(D184), $B199 * E184, "")</f>
        <v>-10912.981455064195</v>
      </c>
      <c r="G184" s="105">
        <v>13310</v>
      </c>
      <c r="H184" s="103">
        <f>IF(ISNUMBER(G184), (G184 - $B184) / $B184, "")</f>
        <v>-5.0641940085592009E-2</v>
      </c>
      <c r="I184" s="106">
        <f>IF(ISNUMBER(G184), $B199 * H184, "")</f>
        <v>-7596.2910128388012</v>
      </c>
      <c r="J184" s="102">
        <v>13100</v>
      </c>
      <c r="K184" s="103">
        <f>IF(ISNUMBER(J184), (J184 - $B184) / $B184, "")</f>
        <v>-6.5620542082738945E-2</v>
      </c>
      <c r="L184" s="104">
        <f>IF(ISNUMBER(J184), $B199 * K184, "")</f>
        <v>-9843.0813124108408</v>
      </c>
      <c r="M184" s="105">
        <v>13280</v>
      </c>
      <c r="N184" s="103">
        <f>IF(ISNUMBER(M184), (M184 - $B184) / $B184, "")</f>
        <v>-5.2781740370898715E-2</v>
      </c>
      <c r="O184" s="104">
        <f>IF(ISNUMBER(M184), $B199 * N184, "")</f>
        <v>-7917.2610556348072</v>
      </c>
      <c r="Q184" s="275"/>
      <c r="R184" s="275"/>
      <c r="S184" s="275"/>
    </row>
    <row r="185" spans="1:19" ht="17.25" thickBot="1">
      <c r="A185" s="124" t="s">
        <v>132</v>
      </c>
      <c r="B185" s="125">
        <v>273</v>
      </c>
      <c r="C185" s="73">
        <v>-4.5454545499999999E-2</v>
      </c>
      <c r="D185" s="15">
        <v>253</v>
      </c>
      <c r="E185" s="32">
        <f t="shared" ref="E185:E188" si="98">IF(ISNUMBER(D185), (D185 - $B185) / $B185, "")</f>
        <v>-7.3260073260073263E-2</v>
      </c>
      <c r="F185" s="18">
        <f>IF(ISNUMBER(D185), $B199 * E185, "")</f>
        <v>-10989.010989010989</v>
      </c>
      <c r="G185" s="31">
        <v>263</v>
      </c>
      <c r="H185" s="32">
        <f t="shared" ref="H185:H188" si="99">IF(ISNUMBER(G185), (G185 - $B185) / $B185, "")</f>
        <v>-3.6630036630036632E-2</v>
      </c>
      <c r="I185" s="97">
        <f>IF(ISNUMBER(G185), $B199 * H185, "")</f>
        <v>-5494.5054945054944</v>
      </c>
      <c r="J185" s="15">
        <v>258</v>
      </c>
      <c r="K185" s="32">
        <f t="shared" ref="K185:K188" si="100">IF(ISNUMBER(J185), (J185 - $B185) / $B185, "")</f>
        <v>-5.4945054945054944E-2</v>
      </c>
      <c r="L185" s="18">
        <f>IF(ISNUMBER(J185), $B199 * K185, "")</f>
        <v>-8241.7582417582416</v>
      </c>
      <c r="M185" s="31">
        <v>254</v>
      </c>
      <c r="N185" s="32">
        <f t="shared" ref="N185:N188" si="101">IF(ISNUMBER(M185), (M185 - $B185) / $B185, "")</f>
        <v>-6.95970695970696E-2</v>
      </c>
      <c r="O185" s="18">
        <f>IF(ISNUMBER(M185), $B199 * N185, "")</f>
        <v>-10439.56043956044</v>
      </c>
      <c r="Q185" s="275"/>
      <c r="R185" s="275"/>
      <c r="S185" s="275"/>
    </row>
    <row r="186" spans="1:19" ht="17.25" thickBot="1">
      <c r="A186" s="124" t="s">
        <v>284</v>
      </c>
      <c r="B186" s="125">
        <v>495</v>
      </c>
      <c r="C186" s="73">
        <v>-4.9904030699999997E-2</v>
      </c>
      <c r="D186" s="15">
        <v>435</v>
      </c>
      <c r="E186" s="32">
        <f t="shared" si="98"/>
        <v>-0.12121212121212122</v>
      </c>
      <c r="F186" s="18">
        <f>IF(ISNUMBER(D186), $B199 * E186, "")</f>
        <v>-18181.818181818184</v>
      </c>
      <c r="G186" s="31">
        <v>453</v>
      </c>
      <c r="H186" s="32">
        <f t="shared" si="99"/>
        <v>-8.4848484848484854E-2</v>
      </c>
      <c r="I186" s="97">
        <f>IF(ISNUMBER(G186), $B199 * H186, "")</f>
        <v>-12727.272727272728</v>
      </c>
      <c r="J186" s="15">
        <v>456</v>
      </c>
      <c r="K186" s="32">
        <f t="shared" si="100"/>
        <v>-7.8787878787878782E-2</v>
      </c>
      <c r="L186" s="18">
        <f>IF(ISNUMBER(J186), $B199 * K186, "")</f>
        <v>-11818.181818181818</v>
      </c>
      <c r="M186" s="31">
        <v>460</v>
      </c>
      <c r="N186" s="32">
        <f t="shared" si="101"/>
        <v>-7.0707070707070704E-2</v>
      </c>
      <c r="O186" s="18">
        <f>IF(ISNUMBER(M186), $B199 * N186, "")</f>
        <v>-10606.060606060606</v>
      </c>
      <c r="Q186" s="275"/>
      <c r="R186" s="275"/>
      <c r="S186" s="275"/>
    </row>
    <row r="187" spans="1:19" ht="17.25" thickBot="1">
      <c r="A187" s="124" t="s">
        <v>248</v>
      </c>
      <c r="B187" s="125">
        <v>3995</v>
      </c>
      <c r="C187" s="73">
        <v>-4.9940547000000002E-2</v>
      </c>
      <c r="D187" s="15">
        <v>3530</v>
      </c>
      <c r="E187" s="32">
        <f t="shared" si="98"/>
        <v>-0.11639549436795996</v>
      </c>
      <c r="F187" s="18">
        <f>IF(ISNUMBER(D187), $B199 * E187, "")</f>
        <v>-17459.324155193994</v>
      </c>
      <c r="G187" s="31">
        <v>3660</v>
      </c>
      <c r="H187" s="32">
        <f t="shared" si="99"/>
        <v>-8.3854818523153948E-2</v>
      </c>
      <c r="I187" s="97">
        <f>IF(ISNUMBER(G187), $B199 * H187, "")</f>
        <v>-12578.222778473093</v>
      </c>
      <c r="J187" s="15">
        <v>3665</v>
      </c>
      <c r="K187" s="32">
        <f t="shared" si="100"/>
        <v>-8.2603254067584481E-2</v>
      </c>
      <c r="L187" s="18">
        <f>IF(ISNUMBER(J187), $B199 * K187, "")</f>
        <v>-12390.488110137672</v>
      </c>
      <c r="M187" s="31">
        <v>3635</v>
      </c>
      <c r="N187" s="32">
        <f t="shared" si="101"/>
        <v>-9.0112640801001245E-2</v>
      </c>
      <c r="O187" s="18">
        <f>IF(ISNUMBER(M187), $B199 * N187, "")</f>
        <v>-13516.896120150186</v>
      </c>
      <c r="Q187" s="33"/>
      <c r="R187" s="33"/>
    </row>
    <row r="188" spans="1:19" ht="17.25" thickBot="1">
      <c r="A188" s="129" t="s">
        <v>192</v>
      </c>
      <c r="B188" s="130">
        <v>1215</v>
      </c>
      <c r="C188" s="75">
        <v>-5.078125E-2</v>
      </c>
      <c r="D188" s="24">
        <v>1110</v>
      </c>
      <c r="E188" s="25">
        <f t="shared" si="98"/>
        <v>-8.6419753086419748E-2</v>
      </c>
      <c r="F188" s="100">
        <f>IF(ISNUMBER(D188), $B199 * E188, "")</f>
        <v>-12962.962962962962</v>
      </c>
      <c r="G188" s="98">
        <v>1130</v>
      </c>
      <c r="H188" s="25">
        <f t="shared" si="99"/>
        <v>-6.9958847736625515E-2</v>
      </c>
      <c r="I188" s="99">
        <f>IF(ISNUMBER(G188), $B199 * H188, "")</f>
        <v>-10493.827160493827</v>
      </c>
      <c r="J188" s="24">
        <v>1135</v>
      </c>
      <c r="K188" s="25">
        <f t="shared" si="100"/>
        <v>-6.584362139917696E-2</v>
      </c>
      <c r="L188" s="100">
        <f>IF(ISNUMBER(J188), $B199 * K188, "")</f>
        <v>-9876.5432098765432</v>
      </c>
      <c r="M188" s="98">
        <v>1145</v>
      </c>
      <c r="N188" s="25">
        <f t="shared" si="101"/>
        <v>-5.7613168724279837E-2</v>
      </c>
      <c r="O188" s="100">
        <f>IF(ISNUMBER(M188), $B199 * N188, "")</f>
        <v>-8641.9753086419751</v>
      </c>
      <c r="Q188" s="284"/>
      <c r="R188" s="285"/>
      <c r="S188" s="286"/>
    </row>
    <row r="189" spans="1:19">
      <c r="A189" s="122" t="s">
        <v>128</v>
      </c>
      <c r="B189" s="123">
        <v>685</v>
      </c>
      <c r="C189" s="72">
        <v>-5.12465374E-2</v>
      </c>
      <c r="D189" s="13">
        <v>637</v>
      </c>
      <c r="E189" s="14">
        <f>IF(ISNUMBER(D189), (D189 - $B189) / $B189, "")</f>
        <v>-7.0072992700729933E-2</v>
      </c>
      <c r="F189" s="16">
        <f>IF(ISNUMBER(D189), $B199 * E189, "")</f>
        <v>-10510.94890510949</v>
      </c>
      <c r="G189" s="29">
        <v>647</v>
      </c>
      <c r="H189" s="14">
        <f>IF(ISNUMBER(G189), (G189 - $B189) / $B189, "")</f>
        <v>-5.5474452554744529E-2</v>
      </c>
      <c r="I189" s="96">
        <f>IF(ISNUMBER(G189), $B199 * H189, "")</f>
        <v>-8321.1678832116795</v>
      </c>
      <c r="J189" s="13">
        <v>643</v>
      </c>
      <c r="K189" s="14">
        <f>IF(ISNUMBER(J189), (J189 - $B189) / $B189, "")</f>
        <v>-6.1313868613138686E-2</v>
      </c>
      <c r="L189" s="16">
        <f>IF(ISNUMBER(J189), $B199 * K189, "")</f>
        <v>-9197.0802919708021</v>
      </c>
      <c r="M189" s="29">
        <v>636</v>
      </c>
      <c r="N189" s="14">
        <f>IF(ISNUMBER(M189), (M189 - $B189) / $B189, "")</f>
        <v>-7.153284671532846E-2</v>
      </c>
      <c r="O189" s="16">
        <f>IF(ISNUMBER(M189), $B199 * N189, "")</f>
        <v>-10729.927007299269</v>
      </c>
      <c r="Q189" s="287"/>
      <c r="R189" s="288"/>
      <c r="S189" s="289"/>
    </row>
    <row r="190" spans="1:19" ht="17.25" thickBot="1">
      <c r="A190" s="124" t="s">
        <v>234</v>
      </c>
      <c r="B190" s="125">
        <v>1295</v>
      </c>
      <c r="C190" s="73">
        <v>-5.1282051299999999E-2</v>
      </c>
      <c r="D190" s="15">
        <v>1185</v>
      </c>
      <c r="E190" s="32">
        <f t="shared" ref="E190:E193" si="102">IF(ISNUMBER(D190), (D190 - $B190) / $B190, "")</f>
        <v>-8.4942084942084939E-2</v>
      </c>
      <c r="F190" s="18">
        <f>IF(ISNUMBER(D190), $B199 * E190, "")</f>
        <v>-12741.31274131274</v>
      </c>
      <c r="G190" s="31">
        <v>1255</v>
      </c>
      <c r="H190" s="32">
        <f t="shared" ref="H190:H193" si="103">IF(ISNUMBER(G190), (G190 - $B190) / $B190, "")</f>
        <v>-3.0888030888030889E-2</v>
      </c>
      <c r="I190" s="97">
        <f>IF(ISNUMBER(G190), $B199 * H190, "")</f>
        <v>-4633.204633204633</v>
      </c>
      <c r="J190" s="15">
        <v>1265</v>
      </c>
      <c r="K190" s="32">
        <f t="shared" ref="K190:K193" si="104">IF(ISNUMBER(J190), (J190 - $B190) / $B190, "")</f>
        <v>-2.3166023166023165E-2</v>
      </c>
      <c r="L190" s="18">
        <f>IF(ISNUMBER(J190), $B199 * K190, "")</f>
        <v>-3474.9034749034749</v>
      </c>
      <c r="M190" s="31">
        <v>1225</v>
      </c>
      <c r="N190" s="32">
        <f t="shared" ref="N190:N193" si="105">IF(ISNUMBER(M190), (M190 - $B190) / $B190, "")</f>
        <v>-5.4054054054054057E-2</v>
      </c>
      <c r="O190" s="18">
        <f>IF(ISNUMBER(M190), $B199 * N190, "")</f>
        <v>-8108.1081081081084</v>
      </c>
      <c r="Q190" s="290"/>
      <c r="R190" s="291"/>
      <c r="S190" s="292"/>
    </row>
    <row r="191" spans="1:19" ht="17.25" thickBot="1">
      <c r="A191" s="124" t="s">
        <v>224</v>
      </c>
      <c r="B191" s="125">
        <v>2110</v>
      </c>
      <c r="C191" s="73">
        <v>-5.16853933E-2</v>
      </c>
      <c r="D191" s="15">
        <v>1990</v>
      </c>
      <c r="E191" s="32">
        <f t="shared" si="102"/>
        <v>-5.6872037914691941E-2</v>
      </c>
      <c r="F191" s="18">
        <f>IF(ISNUMBER(D191), $B199 * E191, "")</f>
        <v>-8530.8056872037905</v>
      </c>
      <c r="G191" s="31">
        <v>2015</v>
      </c>
      <c r="H191" s="32">
        <f t="shared" si="103"/>
        <v>-4.5023696682464455E-2</v>
      </c>
      <c r="I191" s="97">
        <f>IF(ISNUMBER(G191), $B199 * H191, "")</f>
        <v>-6753.5545023696686</v>
      </c>
      <c r="J191" s="15">
        <v>2035</v>
      </c>
      <c r="K191" s="32">
        <f t="shared" si="104"/>
        <v>-3.5545023696682464E-2</v>
      </c>
      <c r="L191" s="18">
        <f>IF(ISNUMBER(J191), $B199 * K191, "")</f>
        <v>-5331.7535545023693</v>
      </c>
      <c r="M191" s="31">
        <v>2040</v>
      </c>
      <c r="N191" s="32">
        <f t="shared" si="105"/>
        <v>-3.3175355450236969E-2</v>
      </c>
      <c r="O191" s="18">
        <f>IF(ISNUMBER(M191), $B199 * N191, "")</f>
        <v>-4976.3033175355458</v>
      </c>
      <c r="Q191" s="275"/>
      <c r="R191" s="275"/>
      <c r="S191" s="275"/>
    </row>
    <row r="192" spans="1:19" ht="17.25" thickBot="1">
      <c r="A192" s="124" t="s">
        <v>244</v>
      </c>
      <c r="B192" s="125">
        <v>3540</v>
      </c>
      <c r="C192" s="73">
        <v>-5.2208835299999999E-2</v>
      </c>
      <c r="D192" s="15">
        <v>3215</v>
      </c>
      <c r="E192" s="32">
        <f t="shared" si="102"/>
        <v>-9.1807909604519775E-2</v>
      </c>
      <c r="F192" s="18">
        <f>IF(ISNUMBER(D192), $B199 * E192, "")</f>
        <v>-13771.186440677966</v>
      </c>
      <c r="G192" s="31">
        <v>3345</v>
      </c>
      <c r="H192" s="32">
        <f t="shared" si="103"/>
        <v>-5.5084745762711863E-2</v>
      </c>
      <c r="I192" s="97">
        <f>IF(ISNUMBER(G192), $B199 * H192, "")</f>
        <v>-8262.7118644067796</v>
      </c>
      <c r="J192" s="15">
        <v>3390</v>
      </c>
      <c r="K192" s="32">
        <f t="shared" si="104"/>
        <v>-4.2372881355932202E-2</v>
      </c>
      <c r="L192" s="18">
        <f>IF(ISNUMBER(J192), $B199 * K192, "")</f>
        <v>-6355.9322033898306</v>
      </c>
      <c r="M192" s="31">
        <v>3420</v>
      </c>
      <c r="N192" s="32">
        <f t="shared" si="105"/>
        <v>-3.3898305084745763E-2</v>
      </c>
      <c r="O192" s="18">
        <f>IF(ISNUMBER(M192), $B199 * N192, "")</f>
        <v>-5084.7457627118647</v>
      </c>
      <c r="Q192" s="270"/>
      <c r="R192" s="270"/>
      <c r="S192" s="270"/>
    </row>
    <row r="193" spans="1:19" ht="17.25" thickBot="1">
      <c r="A193" s="126" t="s">
        <v>188</v>
      </c>
      <c r="B193" s="127">
        <v>31810</v>
      </c>
      <c r="C193" s="74">
        <v>-5.2427762900000001E-2</v>
      </c>
      <c r="D193" s="20">
        <v>28380</v>
      </c>
      <c r="E193" s="21">
        <f t="shared" si="102"/>
        <v>-0.10782772712983339</v>
      </c>
      <c r="F193" s="22">
        <f>IF(ISNUMBER(D193), $B199 * E193, "")</f>
        <v>-16174.159069475008</v>
      </c>
      <c r="G193" s="30">
        <v>29210</v>
      </c>
      <c r="H193" s="21">
        <f t="shared" si="103"/>
        <v>-8.1735303363722103E-2</v>
      </c>
      <c r="I193" s="101">
        <f>IF(ISNUMBER(G193), $B199 * H193, "")</f>
        <v>-12260.295504558315</v>
      </c>
      <c r="J193" s="20">
        <v>28570</v>
      </c>
      <c r="K193" s="21">
        <f t="shared" si="104"/>
        <v>-0.10185476265325369</v>
      </c>
      <c r="L193" s="22">
        <f>IF(ISNUMBER(J193), $B199 * K193, "")</f>
        <v>-15278.214397988053</v>
      </c>
      <c r="M193" s="30">
        <v>30830</v>
      </c>
      <c r="N193" s="21">
        <f t="shared" si="105"/>
        <v>-3.0807922037095252E-2</v>
      </c>
      <c r="O193" s="22">
        <f>IF(ISNUMBER(M193), $B199 * N193, "")</f>
        <v>-4621.1883055642875</v>
      </c>
      <c r="Q193" s="270"/>
      <c r="R193" s="270"/>
      <c r="S193" s="270"/>
    </row>
    <row r="194" spans="1:19" ht="17.25" thickBot="1">
      <c r="A194" s="124" t="s">
        <v>142</v>
      </c>
      <c r="B194" s="128">
        <v>450</v>
      </c>
      <c r="C194" s="76">
        <v>-5.2631578900000003E-2</v>
      </c>
      <c r="D194" s="102">
        <v>423</v>
      </c>
      <c r="E194" s="103">
        <f>IF(ISNUMBER(D194), (D194 - $B194) / $B194, "")</f>
        <v>-0.06</v>
      </c>
      <c r="F194" s="104">
        <f>IF(ISNUMBER(D194), $B199 * E194, "")</f>
        <v>-9000</v>
      </c>
      <c r="G194" s="105">
        <v>436</v>
      </c>
      <c r="H194" s="103">
        <f>IF(ISNUMBER(G194), (G194 - $B194) / $B194, "")</f>
        <v>-3.111111111111111E-2</v>
      </c>
      <c r="I194" s="106">
        <f>IF(ISNUMBER(G194), $B199 * H194, "")</f>
        <v>-4666.666666666667</v>
      </c>
      <c r="J194" s="102">
        <v>435</v>
      </c>
      <c r="K194" s="103">
        <f>IF(ISNUMBER(J194), (J194 - $B194) / $B194, "")</f>
        <v>-3.3333333333333333E-2</v>
      </c>
      <c r="L194" s="104">
        <f>IF(ISNUMBER(J194), $B199 * K194, "")</f>
        <v>-5000</v>
      </c>
      <c r="M194" s="105">
        <v>432</v>
      </c>
      <c r="N194" s="103">
        <f>IF(ISNUMBER(M194), (M194 - $B194) / $B194, "")</f>
        <v>-0.04</v>
      </c>
      <c r="O194" s="104">
        <f>IF(ISNUMBER(M194), $B199 * N194, "")</f>
        <v>-6000</v>
      </c>
      <c r="Q194" s="275"/>
      <c r="R194" s="275"/>
      <c r="S194" s="275"/>
    </row>
    <row r="195" spans="1:19" ht="17.25" thickBot="1">
      <c r="A195" s="124" t="s">
        <v>182</v>
      </c>
      <c r="B195" s="125">
        <v>533</v>
      </c>
      <c r="C195" s="73">
        <v>-5.8303886899999997E-2</v>
      </c>
      <c r="D195" s="15">
        <v>475</v>
      </c>
      <c r="E195" s="32">
        <f t="shared" ref="E195:E198" si="106">IF(ISNUMBER(D195), (D195 - $B195) / $B195, "")</f>
        <v>-0.10881801125703565</v>
      </c>
      <c r="F195" s="18">
        <f>IF(ISNUMBER(D195), $B199 * E195, "")</f>
        <v>-16322.701688555348</v>
      </c>
      <c r="G195" s="31">
        <v>492</v>
      </c>
      <c r="H195" s="32">
        <f t="shared" ref="H195:H198" si="107">IF(ISNUMBER(G195), (G195 - $B195) / $B195, "")</f>
        <v>-7.6923076923076927E-2</v>
      </c>
      <c r="I195" s="97">
        <f>IF(ISNUMBER(G195), $B199 * H195, "")</f>
        <v>-11538.461538461539</v>
      </c>
      <c r="J195" s="15">
        <v>488</v>
      </c>
      <c r="K195" s="32">
        <f t="shared" ref="K195:K198" si="108">IF(ISNUMBER(J195), (J195 - $B195) / $B195, "")</f>
        <v>-8.4427767354596617E-2</v>
      </c>
      <c r="L195" s="18">
        <f>IF(ISNUMBER(J195), $B199 * K195, "")</f>
        <v>-12664.165103189493</v>
      </c>
      <c r="M195" s="31">
        <v>489</v>
      </c>
      <c r="N195" s="32">
        <f t="shared" ref="N195:N198" si="109">IF(ISNUMBER(M195), (M195 - $B195) / $B195, "")</f>
        <v>-8.2551594746716694E-2</v>
      </c>
      <c r="O195" s="18">
        <f>IF(ISNUMBER(M195), $B199 * N195, "")</f>
        <v>-12382.739212007504</v>
      </c>
      <c r="Q195" s="275"/>
      <c r="R195" s="275"/>
      <c r="S195" s="275"/>
    </row>
    <row r="196" spans="1:19" ht="17.25" thickBot="1">
      <c r="A196" s="124" t="s">
        <v>240</v>
      </c>
      <c r="B196" s="125">
        <v>172</v>
      </c>
      <c r="C196" s="73">
        <v>-6.5217391299999997E-2</v>
      </c>
      <c r="D196" s="15">
        <v>160</v>
      </c>
      <c r="E196" s="32">
        <f t="shared" si="106"/>
        <v>-6.9767441860465115E-2</v>
      </c>
      <c r="F196" s="18">
        <f>IF(ISNUMBER(D196), $B199 * E196, "")</f>
        <v>-10465.116279069767</v>
      </c>
      <c r="G196" s="31">
        <v>167</v>
      </c>
      <c r="H196" s="32">
        <f t="shared" si="107"/>
        <v>-2.9069767441860465E-2</v>
      </c>
      <c r="I196" s="97">
        <f>IF(ISNUMBER(G196), $B199 * H196, "")</f>
        <v>-4360.4651162790697</v>
      </c>
      <c r="J196" s="15">
        <v>169</v>
      </c>
      <c r="K196" s="32">
        <f t="shared" si="108"/>
        <v>-1.7441860465116279E-2</v>
      </c>
      <c r="L196" s="18">
        <f>IF(ISNUMBER(J196), $B199 * K196, "")</f>
        <v>-2616.2790697674418</v>
      </c>
      <c r="M196" s="31">
        <v>169</v>
      </c>
      <c r="N196" s="32">
        <f t="shared" si="109"/>
        <v>-1.7441860465116279E-2</v>
      </c>
      <c r="O196" s="18">
        <f>IF(ISNUMBER(M196), $B199 * N196, "")</f>
        <v>-2616.2790697674418</v>
      </c>
      <c r="Q196" s="275"/>
      <c r="R196" s="275"/>
      <c r="S196" s="275"/>
    </row>
    <row r="197" spans="1:19">
      <c r="A197" s="124" t="s">
        <v>262</v>
      </c>
      <c r="B197" s="125">
        <v>1350</v>
      </c>
      <c r="C197" s="73">
        <v>-9.0909090900000003E-2</v>
      </c>
      <c r="D197" s="15">
        <v>1220</v>
      </c>
      <c r="E197" s="32">
        <f t="shared" si="106"/>
        <v>-9.6296296296296297E-2</v>
      </c>
      <c r="F197" s="18">
        <f>IF(ISNUMBER(D197), $B199 * E197, "")</f>
        <v>-14444.444444444445</v>
      </c>
      <c r="G197" s="31">
        <v>1255</v>
      </c>
      <c r="H197" s="32">
        <f t="shared" si="107"/>
        <v>-7.0370370370370375E-2</v>
      </c>
      <c r="I197" s="97">
        <f>IF(ISNUMBER(G197), $B199 * H197, "")</f>
        <v>-10555.555555555557</v>
      </c>
      <c r="J197" s="15">
        <v>1260</v>
      </c>
      <c r="K197" s="32">
        <f t="shared" si="108"/>
        <v>-6.6666666666666666E-2</v>
      </c>
      <c r="L197" s="18">
        <f>IF(ISNUMBER(J197), $B199 * K197, "")</f>
        <v>-10000</v>
      </c>
      <c r="M197" s="31">
        <v>1320</v>
      </c>
      <c r="N197" s="32">
        <f t="shared" si="109"/>
        <v>-2.2222222222222223E-2</v>
      </c>
      <c r="O197" s="18">
        <f>IF(ISNUMBER(M197), $B199 * N197, "")</f>
        <v>-3333.3333333333335</v>
      </c>
      <c r="Q197" s="297"/>
      <c r="R197" s="298"/>
      <c r="S197" s="299"/>
    </row>
    <row r="198" spans="1:19" ht="17.25" thickBot="1">
      <c r="A198" s="129" t="s">
        <v>296</v>
      </c>
      <c r="B198" s="130">
        <v>632</v>
      </c>
      <c r="C198" s="75">
        <v>-0.1009957326</v>
      </c>
      <c r="D198" s="24">
        <v>598</v>
      </c>
      <c r="E198" s="25">
        <f t="shared" si="106"/>
        <v>-5.3797468354430382E-2</v>
      </c>
      <c r="F198" s="100">
        <f>IF(ISNUMBER(D198), $B199 * E198, "")</f>
        <v>-8069.6202531645577</v>
      </c>
      <c r="G198" s="98">
        <v>639</v>
      </c>
      <c r="H198" s="25">
        <f t="shared" si="107"/>
        <v>1.1075949367088608E-2</v>
      </c>
      <c r="I198" s="99">
        <f>IF(ISNUMBER(G198), $B199 * H198, "")</f>
        <v>1661.3924050632911</v>
      </c>
      <c r="J198" s="24">
        <v>615</v>
      </c>
      <c r="K198" s="25">
        <f t="shared" si="108"/>
        <v>-2.6898734177215191E-2</v>
      </c>
      <c r="L198" s="100">
        <f>IF(ISNUMBER(J198), $B199 * K198, "")</f>
        <v>-4034.8101265822788</v>
      </c>
      <c r="M198" s="98">
        <v>616</v>
      </c>
      <c r="N198" s="25">
        <f t="shared" si="109"/>
        <v>-2.5316455696202531E-2</v>
      </c>
      <c r="O198" s="100">
        <f>IF(ISNUMBER(M198), $B199 * N198, "")</f>
        <v>-3797.4683544303798</v>
      </c>
      <c r="Q198" s="300"/>
      <c r="R198" s="301"/>
      <c r="S198" s="302"/>
    </row>
    <row r="199" spans="1:19" ht="17.25" thickBot="1">
      <c r="A199" s="131" t="s">
        <v>301</v>
      </c>
      <c r="B199" s="308">
        <f>$B$37</f>
        <v>150000</v>
      </c>
      <c r="C199" s="309"/>
      <c r="D199" s="26" t="s">
        <v>302</v>
      </c>
      <c r="E199" s="27">
        <f>IF(COUNT(E179:E198), SUM(E179:E198) / COUNT(E179:E198), 0)</f>
        <v>-8.6167982277064181E-2</v>
      </c>
      <c r="F199" s="28">
        <f>SUM(F179:F198)</f>
        <v>-258503.94683119259</v>
      </c>
      <c r="G199" s="26" t="s">
        <v>302</v>
      </c>
      <c r="H199" s="27">
        <f>IF(COUNT(H179:H198), SUM(H179:H198) / COUNT(H179:H198), 0)</f>
        <v>-5.4595778321793666E-2</v>
      </c>
      <c r="I199" s="28">
        <f>SUM(I179:I198)</f>
        <v>-163787.33496538099</v>
      </c>
      <c r="J199" s="26" t="s">
        <v>302</v>
      </c>
      <c r="K199" s="27">
        <f>IF(COUNT(K179:K198), SUM(K179:K198) / COUNT(K179:K198), 0)</f>
        <v>-5.6469500242768936E-2</v>
      </c>
      <c r="L199" s="28">
        <f>SUM(L179:L198)</f>
        <v>-169408.50072830683</v>
      </c>
      <c r="M199" s="26" t="s">
        <v>302</v>
      </c>
      <c r="N199" s="27">
        <f>IF(COUNT(N179:N198), SUM(N179:N198) / COUNT(N179:N198), 0)</f>
        <v>-5.0178887215949319E-2</v>
      </c>
      <c r="O199" s="28">
        <f>SUM(O179:O198)</f>
        <v>-150536.66164784797</v>
      </c>
      <c r="Q199" s="303"/>
      <c r="R199" s="304"/>
      <c r="S199" s="30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69" priority="157">
      <formula>AND($N17 &gt; 0, ISNUMBER($N17))</formula>
    </cfRule>
    <cfRule type="expression" dxfId="1068" priority="158">
      <formula>AND($N17 = 0 * ISNUMBER($N17))</formula>
    </cfRule>
    <cfRule type="expression" dxfId="1067" priority="159">
      <formula>AND($N17 &lt; 0, ISNUMBER($N17))</formula>
    </cfRule>
  </conditionalFormatting>
  <conditionalFormatting sqref="A17:F36">
    <cfRule type="expression" dxfId="1066" priority="166">
      <formula>AND($E17 &gt; 0, ISNUMBER($E17))</formula>
    </cfRule>
    <cfRule type="expression" dxfId="1065" priority="167">
      <formula>AND($E17 = 0 * ISNUMBER($E17))</formula>
    </cfRule>
    <cfRule type="expression" dxfId="1064" priority="168">
      <formula>AND($E17 &lt; 0, ISNUMBER($E17))</formula>
    </cfRule>
  </conditionalFormatting>
  <conditionalFormatting sqref="A17:C36 G17:I36">
    <cfRule type="expression" dxfId="1063" priority="163">
      <formula>AND($H17 &gt; 0, ISNUMBER($H17))</formula>
    </cfRule>
    <cfRule type="expression" dxfId="1062" priority="164">
      <formula>AND($H17 = 0 * ISNUMBER($H17))</formula>
    </cfRule>
    <cfRule type="expression" dxfId="1061" priority="165">
      <formula>AND($H17 &lt; 0, ISNUMBER($H17))</formula>
    </cfRule>
  </conditionalFormatting>
  <conditionalFormatting sqref="A17:C36 J17:L36">
    <cfRule type="expression" dxfId="1060" priority="160">
      <formula>AND($K17 &gt; 0, ISNUMBER($K17))</formula>
    </cfRule>
    <cfRule type="expression" dxfId="1059" priority="161">
      <formula>AND($K17 = 0 * ISNUMBER($K17))</formula>
    </cfRule>
    <cfRule type="expression" dxfId="1058" priority="162">
      <formula>AND($K17 &lt; 0, ISNUMBER($K17))</formula>
    </cfRule>
  </conditionalFormatting>
  <conditionalFormatting sqref="D15:F16 E37:F37">
    <cfRule type="expression" dxfId="1057" priority="154">
      <formula>$E$37 &gt; 0</formula>
    </cfRule>
    <cfRule type="expression" dxfId="1056" priority="155">
      <formula>$E$37 = 0</formula>
    </cfRule>
    <cfRule type="expression" dxfId="1055" priority="156">
      <formula>$E$37 &lt; 0</formula>
    </cfRule>
  </conditionalFormatting>
  <conditionalFormatting sqref="G15:I16 H37:I37">
    <cfRule type="expression" dxfId="1054" priority="151">
      <formula>$H$37 &gt; 0</formula>
    </cfRule>
    <cfRule type="expression" dxfId="1053" priority="152">
      <formula>$H$37 = 0</formula>
    </cfRule>
    <cfRule type="expression" dxfId="1052" priority="153">
      <formula>$H$37 &lt; 0</formula>
    </cfRule>
  </conditionalFormatting>
  <conditionalFormatting sqref="J15:L16 K37:L37">
    <cfRule type="expression" dxfId="1051" priority="148">
      <formula>$K$37 &gt; 0</formula>
    </cfRule>
    <cfRule type="expression" dxfId="1050" priority="149">
      <formula>$K$37 = 0</formula>
    </cfRule>
    <cfRule type="expression" dxfId="1049" priority="150">
      <formula>$K$37 &lt; 0</formula>
    </cfRule>
  </conditionalFormatting>
  <conditionalFormatting sqref="M15:O16 N37:O37">
    <cfRule type="expression" dxfId="1048" priority="145">
      <formula>$N$37 &gt; 0</formula>
    </cfRule>
    <cfRule type="expression" dxfId="1047" priority="146">
      <formula>$N$37 = 0</formula>
    </cfRule>
    <cfRule type="expression" dxfId="1046" priority="147">
      <formula>$N$37 &lt; 0</formula>
    </cfRule>
  </conditionalFormatting>
  <conditionalFormatting sqref="A44:C63 M44:O63">
    <cfRule type="expression" dxfId="1045" priority="133">
      <formula>AND($N44 &gt; 0, ISNUMBER($N44))</formula>
    </cfRule>
    <cfRule type="expression" dxfId="1044" priority="134">
      <formula>AND($N44 = 0 * ISNUMBER($N44))</formula>
    </cfRule>
    <cfRule type="expression" dxfId="1043" priority="135">
      <formula>AND($N44 &lt; 0, ISNUMBER($N44))</formula>
    </cfRule>
  </conditionalFormatting>
  <conditionalFormatting sqref="A44:F63">
    <cfRule type="expression" dxfId="1042" priority="142">
      <formula>AND($E44 &gt; 0, ISNUMBER($E44))</formula>
    </cfRule>
    <cfRule type="expression" dxfId="1041" priority="143">
      <formula>AND($E44 = 0 * ISNUMBER($E44))</formula>
    </cfRule>
    <cfRule type="expression" dxfId="1040" priority="144">
      <formula>AND($E44 &lt; 0, ISNUMBER($E44))</formula>
    </cfRule>
  </conditionalFormatting>
  <conditionalFormatting sqref="A44:C63 G44:I63">
    <cfRule type="expression" dxfId="1039" priority="139">
      <formula>AND($H44 &gt; 0, ISNUMBER($H44))</formula>
    </cfRule>
    <cfRule type="expression" dxfId="1038" priority="140">
      <formula>AND($H44 = 0 * ISNUMBER($H44))</formula>
    </cfRule>
    <cfRule type="expression" dxfId="1037" priority="141">
      <formula>AND($H44 &lt; 0, ISNUMBER($H44))</formula>
    </cfRule>
  </conditionalFormatting>
  <conditionalFormatting sqref="A44:C63 J44:L63">
    <cfRule type="expression" dxfId="1036" priority="136">
      <formula>AND($K44 &gt; 0, ISNUMBER($K44))</formula>
    </cfRule>
    <cfRule type="expression" dxfId="1035" priority="137">
      <formula>AND($K44 = 0 * ISNUMBER($K44))</formula>
    </cfRule>
    <cfRule type="expression" dxfId="1034" priority="138">
      <formula>AND($K44 &lt; 0, ISNUMBER($K44))</formula>
    </cfRule>
  </conditionalFormatting>
  <conditionalFormatting sqref="D42:F43 E64:F64">
    <cfRule type="expression" dxfId="1033" priority="130">
      <formula>$E$64 &gt; 0</formula>
    </cfRule>
    <cfRule type="expression" dxfId="1032" priority="131">
      <formula>$E$64 = 0</formula>
    </cfRule>
    <cfRule type="expression" dxfId="1031" priority="132">
      <formula>$E$64 &lt; 0</formula>
    </cfRule>
  </conditionalFormatting>
  <conditionalFormatting sqref="G42:I43 H64:I64">
    <cfRule type="expression" dxfId="1030" priority="127">
      <formula>$H$64 &gt; 0</formula>
    </cfRule>
    <cfRule type="expression" dxfId="1029" priority="128">
      <formula>$H$64 = 0</formula>
    </cfRule>
    <cfRule type="expression" dxfId="1028" priority="129">
      <formula>$H$64 &lt; 0</formula>
    </cfRule>
  </conditionalFormatting>
  <conditionalFormatting sqref="J42:L43 K64:L64">
    <cfRule type="expression" dxfId="1027" priority="124">
      <formula>$K$64 &gt; 0</formula>
    </cfRule>
    <cfRule type="expression" dxfId="1026" priority="125">
      <formula>$K$64 = 0</formula>
    </cfRule>
    <cfRule type="expression" dxfId="1025" priority="126">
      <formula>$K$64 &lt; 0</formula>
    </cfRule>
  </conditionalFormatting>
  <conditionalFormatting sqref="M42:O43 N64:O64">
    <cfRule type="expression" dxfId="1024" priority="121">
      <formula>$N$64 &gt; 0</formula>
    </cfRule>
    <cfRule type="expression" dxfId="1023" priority="122">
      <formula>$N$64 = 0</formula>
    </cfRule>
    <cfRule type="expression" dxfId="1022" priority="123">
      <formula>$N$64 &lt; 0</formula>
    </cfRule>
  </conditionalFormatting>
  <conditionalFormatting sqref="A71:C90 M71:O90">
    <cfRule type="expression" dxfId="1021" priority="109">
      <formula>AND($N71 &gt; 0, ISNUMBER($N71))</formula>
    </cfRule>
    <cfRule type="expression" dxfId="1020" priority="110">
      <formula>AND($N71 = 0 * ISNUMBER($N71))</formula>
    </cfRule>
    <cfRule type="expression" dxfId="1019" priority="111">
      <formula>AND($N71 &lt; 0, ISNUMBER($N71))</formula>
    </cfRule>
  </conditionalFormatting>
  <conditionalFormatting sqref="A71:F90">
    <cfRule type="expression" dxfId="1018" priority="118">
      <formula>AND($E71 &gt; 0, ISNUMBER($E71))</formula>
    </cfRule>
    <cfRule type="expression" dxfId="1017" priority="119">
      <formula>AND($E71 = 0 * ISNUMBER($E71))</formula>
    </cfRule>
    <cfRule type="expression" dxfId="1016" priority="120">
      <formula>AND($E71 &lt; 0, ISNUMBER($E71))</formula>
    </cfRule>
  </conditionalFormatting>
  <conditionalFormatting sqref="A71:C90 G71:I90">
    <cfRule type="expression" dxfId="1015" priority="115">
      <formula>AND($H71 &gt; 0, ISNUMBER($H71))</formula>
    </cfRule>
    <cfRule type="expression" dxfId="1014" priority="116">
      <formula>AND($H71 = 0 * ISNUMBER($H71))</formula>
    </cfRule>
    <cfRule type="expression" dxfId="1013" priority="117">
      <formula>AND($H71 &lt; 0, ISNUMBER($H71))</formula>
    </cfRule>
  </conditionalFormatting>
  <conditionalFormatting sqref="A71:C90 J71:L90">
    <cfRule type="expression" dxfId="1012" priority="112">
      <formula>AND($K71 &gt; 0, ISNUMBER($K71))</formula>
    </cfRule>
    <cfRule type="expression" dxfId="1011" priority="113">
      <formula>AND($K71 = 0 * ISNUMBER($K71))</formula>
    </cfRule>
    <cfRule type="expression" dxfId="1010" priority="114">
      <formula>AND($K71 &lt; 0, ISNUMBER($K71))</formula>
    </cfRule>
  </conditionalFormatting>
  <conditionalFormatting sqref="D69:F70 E91:F91">
    <cfRule type="expression" dxfId="1009" priority="106">
      <formula>$E$91 &gt; 0</formula>
    </cfRule>
    <cfRule type="expression" dxfId="1008" priority="107">
      <formula>$E$91 = 0</formula>
    </cfRule>
    <cfRule type="expression" dxfId="1007" priority="108">
      <formula>$E$91 &lt; 0</formula>
    </cfRule>
  </conditionalFormatting>
  <conditionalFormatting sqref="G69:I70 H91:I91">
    <cfRule type="expression" dxfId="1006" priority="103">
      <formula>$H$91 &gt; 0</formula>
    </cfRule>
    <cfRule type="expression" dxfId="1005" priority="104">
      <formula>$H$91 = 0</formula>
    </cfRule>
    <cfRule type="expression" dxfId="1004" priority="105">
      <formula>$H$91 &lt; 0</formula>
    </cfRule>
  </conditionalFormatting>
  <conditionalFormatting sqref="J69:L70 K91:L91">
    <cfRule type="expression" dxfId="1003" priority="100">
      <formula>$K$91 &gt; 0</formula>
    </cfRule>
    <cfRule type="expression" dxfId="1002" priority="101">
      <formula>$K$91 = 0</formula>
    </cfRule>
    <cfRule type="expression" dxfId="1001" priority="102">
      <formula>$K$91 &lt; 0</formula>
    </cfRule>
  </conditionalFormatting>
  <conditionalFormatting sqref="M69:O70 N91:O91">
    <cfRule type="expression" dxfId="1000" priority="97">
      <formula>$N$91 &gt; 0</formula>
    </cfRule>
    <cfRule type="expression" dxfId="999" priority="98">
      <formula>$N$91 = 0</formula>
    </cfRule>
    <cfRule type="expression" dxfId="998" priority="99">
      <formula>$N$91 &lt; 0</formula>
    </cfRule>
  </conditionalFormatting>
  <conditionalFormatting sqref="A98:C117 M98:O117">
    <cfRule type="expression" dxfId="997" priority="85">
      <formula>AND($N98 &gt; 0, ISNUMBER($N98))</formula>
    </cfRule>
    <cfRule type="expression" dxfId="996" priority="86">
      <formula>AND($N98 = 0 * ISNUMBER($N98))</formula>
    </cfRule>
    <cfRule type="expression" dxfId="995" priority="87">
      <formula>AND($N98 &lt; 0, ISNUMBER($N98))</formula>
    </cfRule>
  </conditionalFormatting>
  <conditionalFormatting sqref="A98:F117">
    <cfRule type="expression" dxfId="994" priority="94">
      <formula>AND($E98 &gt; 0, ISNUMBER($E98))</formula>
    </cfRule>
    <cfRule type="expression" dxfId="993" priority="95">
      <formula>AND($E98 = 0 * ISNUMBER($E98))</formula>
    </cfRule>
    <cfRule type="expression" dxfId="992" priority="96">
      <formula>AND($E98 &lt; 0, ISNUMBER($E98))</formula>
    </cfRule>
  </conditionalFormatting>
  <conditionalFormatting sqref="A98:C117 G98:I117">
    <cfRule type="expression" dxfId="991" priority="91">
      <formula>AND($H98 &gt; 0, ISNUMBER($H98))</formula>
    </cfRule>
    <cfRule type="expression" dxfId="990" priority="92">
      <formula>AND($H98 = 0 * ISNUMBER($H98))</formula>
    </cfRule>
    <cfRule type="expression" dxfId="989" priority="93">
      <formula>AND($H98 &lt; 0, ISNUMBER($H98))</formula>
    </cfRule>
  </conditionalFormatting>
  <conditionalFormatting sqref="A98:C117 J98:L117">
    <cfRule type="expression" dxfId="988" priority="88">
      <formula>AND($K98 &gt; 0, ISNUMBER($K98))</formula>
    </cfRule>
    <cfRule type="expression" dxfId="987" priority="89">
      <formula>AND($K98 = 0 * ISNUMBER($K98))</formula>
    </cfRule>
    <cfRule type="expression" dxfId="986" priority="90">
      <formula>AND($K98 &lt; 0, ISNUMBER($K98))</formula>
    </cfRule>
  </conditionalFormatting>
  <conditionalFormatting sqref="D96:F97 E118:F118">
    <cfRule type="expression" dxfId="985" priority="82">
      <formula>$E$118 &gt; 0</formula>
    </cfRule>
    <cfRule type="expression" dxfId="984" priority="83">
      <formula>$E$118 = 0</formula>
    </cfRule>
    <cfRule type="expression" dxfId="983" priority="84">
      <formula>$E$118 &lt; 0</formula>
    </cfRule>
  </conditionalFormatting>
  <conditionalFormatting sqref="G96:I97 H118:I118">
    <cfRule type="expression" dxfId="982" priority="79">
      <formula>$H$118 &gt; 0</formula>
    </cfRule>
    <cfRule type="expression" dxfId="981" priority="80">
      <formula>$H$118 = 0</formula>
    </cfRule>
    <cfRule type="expression" dxfId="980" priority="81">
      <formula>$H$118 &lt; 0</formula>
    </cfRule>
  </conditionalFormatting>
  <conditionalFormatting sqref="J96:L97 K118:L118">
    <cfRule type="expression" dxfId="979" priority="76">
      <formula>$K$118 &gt; 0</formula>
    </cfRule>
    <cfRule type="expression" dxfId="978" priority="77">
      <formula>$K$118 = 0</formula>
    </cfRule>
    <cfRule type="expression" dxfId="977" priority="78">
      <formula>$K$118 &lt; 0</formula>
    </cfRule>
  </conditionalFormatting>
  <conditionalFormatting sqref="M96:O97 N118:O118">
    <cfRule type="expression" dxfId="976" priority="73">
      <formula>$N$118 &gt; 0</formula>
    </cfRule>
    <cfRule type="expression" dxfId="975" priority="74">
      <formula>$N$118 = 0</formula>
    </cfRule>
    <cfRule type="expression" dxfId="974" priority="75">
      <formula>$N$118 &lt; 0</formula>
    </cfRule>
  </conditionalFormatting>
  <conditionalFormatting sqref="A125:C144 M125:O144">
    <cfRule type="expression" dxfId="973" priority="61">
      <formula>AND($N125 &gt; 0, ISNUMBER($N125))</formula>
    </cfRule>
    <cfRule type="expression" dxfId="972" priority="62">
      <formula>AND($N125 = 0 * ISNUMBER($N125))</formula>
    </cfRule>
    <cfRule type="expression" dxfId="971" priority="63">
      <formula>AND($N125 &lt; 0, ISNUMBER($N125))</formula>
    </cfRule>
  </conditionalFormatting>
  <conditionalFormatting sqref="A125:F144">
    <cfRule type="expression" dxfId="970" priority="70">
      <formula>AND($E125 &gt; 0, ISNUMBER($E125))</formula>
    </cfRule>
    <cfRule type="expression" dxfId="969" priority="71">
      <formula>AND($E125 = 0 * ISNUMBER($E125))</formula>
    </cfRule>
    <cfRule type="expression" dxfId="968" priority="72">
      <formula>AND($E125 &lt; 0, ISNUMBER($E125))</formula>
    </cfRule>
  </conditionalFormatting>
  <conditionalFormatting sqref="A125:C144 G125:I144">
    <cfRule type="expression" dxfId="967" priority="67">
      <formula>AND($H125 &gt; 0, ISNUMBER($H125))</formula>
    </cfRule>
    <cfRule type="expression" dxfId="966" priority="68">
      <formula>AND($H125 = 0 * ISNUMBER($H125))</formula>
    </cfRule>
    <cfRule type="expression" dxfId="965" priority="69">
      <formula>AND($H125 &lt; 0, ISNUMBER($H125))</formula>
    </cfRule>
  </conditionalFormatting>
  <conditionalFormatting sqref="A125:C144 J125:L144">
    <cfRule type="expression" dxfId="964" priority="64">
      <formula>AND($K125 &gt; 0, ISNUMBER($K125))</formula>
    </cfRule>
    <cfRule type="expression" dxfId="963" priority="65">
      <formula>AND($K125 = 0 * ISNUMBER($K125))</formula>
    </cfRule>
    <cfRule type="expression" dxfId="962" priority="66">
      <formula>AND($K125 &lt; 0, ISNUMBER($K125))</formula>
    </cfRule>
  </conditionalFormatting>
  <conditionalFormatting sqref="D123:F124 E145:F145">
    <cfRule type="expression" dxfId="961" priority="58">
      <formula>$E$145 &gt; 0</formula>
    </cfRule>
    <cfRule type="expression" dxfId="960" priority="59">
      <formula>$E$145 = 0</formula>
    </cfRule>
    <cfRule type="expression" dxfId="959" priority="60">
      <formula>$E$145 &lt; 0</formula>
    </cfRule>
  </conditionalFormatting>
  <conditionalFormatting sqref="G123:I124 H145:I145">
    <cfRule type="expression" dxfId="958" priority="55">
      <formula>$H$145 &gt; 0</formula>
    </cfRule>
    <cfRule type="expression" dxfId="957" priority="56">
      <formula>$H$145 = 0</formula>
    </cfRule>
    <cfRule type="expression" dxfId="956" priority="57">
      <formula>$H$145 &lt; 0</formula>
    </cfRule>
  </conditionalFormatting>
  <conditionalFormatting sqref="J123:L124 K145:L145">
    <cfRule type="expression" dxfId="955" priority="52">
      <formula>$K$145 &gt; 0</formula>
    </cfRule>
    <cfRule type="expression" dxfId="954" priority="53">
      <formula>$K$145 = 0</formula>
    </cfRule>
    <cfRule type="expression" dxfId="953" priority="54">
      <formula>$K$145 &lt; 0</formula>
    </cfRule>
  </conditionalFormatting>
  <conditionalFormatting sqref="M123:O124 N145:O145">
    <cfRule type="expression" dxfId="952" priority="49">
      <formula>$N$145 &gt; 0</formula>
    </cfRule>
    <cfRule type="expression" dxfId="951" priority="50">
      <formula>$N$145 = 0</formula>
    </cfRule>
    <cfRule type="expression" dxfId="950" priority="51">
      <formula>$N$145 &lt; 0</formula>
    </cfRule>
  </conditionalFormatting>
  <conditionalFormatting sqref="A152:C171 M152:O171">
    <cfRule type="expression" dxfId="949" priority="37">
      <formula>AND($N152 &gt; 0, ISNUMBER($N152))</formula>
    </cfRule>
    <cfRule type="expression" dxfId="948" priority="38">
      <formula>AND($N152 = 0 * ISNUMBER($N152))</formula>
    </cfRule>
    <cfRule type="expression" dxfId="947" priority="39">
      <formula>AND($N152 &lt; 0, ISNUMBER($N152))</formula>
    </cfRule>
  </conditionalFormatting>
  <conditionalFormatting sqref="A152:F171">
    <cfRule type="expression" dxfId="946" priority="46">
      <formula>AND($E152 &gt; 0, ISNUMBER($E152))</formula>
    </cfRule>
    <cfRule type="expression" dxfId="945" priority="47">
      <formula>AND($E152 = 0 * ISNUMBER($E152))</formula>
    </cfRule>
    <cfRule type="expression" dxfId="944" priority="48">
      <formula>AND($E152 &lt; 0, ISNUMBER($E152))</formula>
    </cfRule>
  </conditionalFormatting>
  <conditionalFormatting sqref="A152:C171 G152:I171">
    <cfRule type="expression" dxfId="943" priority="43">
      <formula>AND($H152 &gt; 0, ISNUMBER($H152))</formula>
    </cfRule>
    <cfRule type="expression" dxfId="942" priority="44">
      <formula>AND($H152 = 0 * ISNUMBER($H152))</formula>
    </cfRule>
    <cfRule type="expression" dxfId="941" priority="45">
      <formula>AND($H152 &lt; 0, ISNUMBER($H152))</formula>
    </cfRule>
  </conditionalFormatting>
  <conditionalFormatting sqref="A152:C171 J152:L171">
    <cfRule type="expression" dxfId="940" priority="40">
      <formula>AND($K152 &gt; 0, ISNUMBER($K152))</formula>
    </cfRule>
    <cfRule type="expression" dxfId="939" priority="41">
      <formula>AND($K152 = 0 * ISNUMBER($K152))</formula>
    </cfRule>
    <cfRule type="expression" dxfId="938" priority="42">
      <formula>AND($K152 &lt; 0, ISNUMBER($K152))</formula>
    </cfRule>
  </conditionalFormatting>
  <conditionalFormatting sqref="D150:F151 E172:F172">
    <cfRule type="expression" dxfId="937" priority="34">
      <formula>$E$172 &gt; 0</formula>
    </cfRule>
    <cfRule type="expression" dxfId="936" priority="35">
      <formula>$E$172 = 0</formula>
    </cfRule>
    <cfRule type="expression" dxfId="935" priority="36">
      <formula>$E$172 &lt; 0</formula>
    </cfRule>
  </conditionalFormatting>
  <conditionalFormatting sqref="G150:I151 H172:I172">
    <cfRule type="expression" dxfId="934" priority="31">
      <formula>$H$172 &gt; 0</formula>
    </cfRule>
    <cfRule type="expression" dxfId="933" priority="32">
      <formula>$H$172 = 0</formula>
    </cfRule>
    <cfRule type="expression" dxfId="932" priority="33">
      <formula>$H$172 &lt; 0</formula>
    </cfRule>
  </conditionalFormatting>
  <conditionalFormatting sqref="J150:L151 K172:L172">
    <cfRule type="expression" dxfId="931" priority="28">
      <formula>$K$172 &gt; 0</formula>
    </cfRule>
    <cfRule type="expression" dxfId="930" priority="29">
      <formula>$K$172 = 0</formula>
    </cfRule>
    <cfRule type="expression" dxfId="929" priority="30">
      <formula>$K$172 &lt; 0</formula>
    </cfRule>
  </conditionalFormatting>
  <conditionalFormatting sqref="M150:O151 N172:O172">
    <cfRule type="expression" dxfId="928" priority="25">
      <formula>$N$172 &gt; 0</formula>
    </cfRule>
    <cfRule type="expression" dxfId="927" priority="26">
      <formula>$N$172 = 0</formula>
    </cfRule>
    <cfRule type="expression" dxfId="926" priority="27">
      <formula>$N$172 &lt; 0</formula>
    </cfRule>
  </conditionalFormatting>
  <conditionalFormatting sqref="A179:C198 M179:O198">
    <cfRule type="expression" dxfId="925" priority="13">
      <formula>AND($N179 &gt; 0, ISNUMBER($N179))</formula>
    </cfRule>
    <cfRule type="expression" dxfId="924" priority="14">
      <formula>AND($N179 = 0 * ISNUMBER($N179))</formula>
    </cfRule>
    <cfRule type="expression" dxfId="923" priority="15">
      <formula>AND($N179 &lt; 0, ISNUMBER($N179))</formula>
    </cfRule>
  </conditionalFormatting>
  <conditionalFormatting sqref="A179:F198">
    <cfRule type="expression" dxfId="922" priority="22">
      <formula>AND($E179 &gt; 0, ISNUMBER($E179))</formula>
    </cfRule>
    <cfRule type="expression" dxfId="921" priority="23">
      <formula>AND($E179 = 0 * ISNUMBER($E179))</formula>
    </cfRule>
    <cfRule type="expression" dxfId="920" priority="24">
      <formula>AND($E179 &lt; 0, ISNUMBER($E179))</formula>
    </cfRule>
  </conditionalFormatting>
  <conditionalFormatting sqref="A179:C198 G179:I198">
    <cfRule type="expression" dxfId="919" priority="19">
      <formula>AND($H179 &gt; 0, ISNUMBER($H179))</formula>
    </cfRule>
    <cfRule type="expression" dxfId="918" priority="20">
      <formula>AND($H179 = 0 * ISNUMBER($H179))</formula>
    </cfRule>
    <cfRule type="expression" dxfId="917" priority="21">
      <formula>AND($H179 &lt; 0, ISNUMBER($H179))</formula>
    </cfRule>
  </conditionalFormatting>
  <conditionalFormatting sqref="A179:C198 J179:L198">
    <cfRule type="expression" dxfId="916" priority="16">
      <formula>AND($K179 &gt; 0, ISNUMBER($K179))</formula>
    </cfRule>
    <cfRule type="expression" dxfId="915" priority="17">
      <formula>AND($K179 = 0 * ISNUMBER($K179))</formula>
    </cfRule>
    <cfRule type="expression" dxfId="914" priority="18">
      <formula>AND($K179 &lt; 0, ISNUMBER($K179))</formula>
    </cfRule>
  </conditionalFormatting>
  <conditionalFormatting sqref="D177:F178 E199:F199">
    <cfRule type="expression" dxfId="913" priority="10">
      <formula>$E$199 &gt; 0</formula>
    </cfRule>
    <cfRule type="expression" dxfId="912" priority="11">
      <formula>$E$199 = 0</formula>
    </cfRule>
    <cfRule type="expression" dxfId="911" priority="12">
      <formula>$E$199 &lt; 0</formula>
    </cfRule>
  </conditionalFormatting>
  <conditionalFormatting sqref="G177:I178 H199:I199">
    <cfRule type="expression" dxfId="910" priority="7">
      <formula>$H$199 &gt; 0</formula>
    </cfRule>
    <cfRule type="expression" dxfId="909" priority="8">
      <formula>$H$199 = 0</formula>
    </cfRule>
    <cfRule type="expression" dxfId="908" priority="9">
      <formula>$H$199 &lt; 0</formula>
    </cfRule>
  </conditionalFormatting>
  <conditionalFormatting sqref="J177:L178 K199:L199">
    <cfRule type="expression" dxfId="907" priority="4">
      <formula>$K$199 &gt; 0</formula>
    </cfRule>
    <cfRule type="expression" dxfId="906" priority="5">
      <formula>$K$199 = 0</formula>
    </cfRule>
    <cfRule type="expression" dxfId="905" priority="6">
      <formula>$K$199 &lt; 0</formula>
    </cfRule>
  </conditionalFormatting>
  <conditionalFormatting sqref="M177:O178 N199:O199">
    <cfRule type="expression" dxfId="904" priority="1">
      <formula>$N$199 &gt; 0</formula>
    </cfRule>
    <cfRule type="expression" dxfId="903" priority="2">
      <formula>$N$199 = 0</formula>
    </cfRule>
    <cfRule type="expression" dxfId="9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8AFF3-BCD6-483B-945E-85C6CA3656EA}">
  <sheetPr codeName="Sheet18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4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49" t="s">
        <v>0</v>
      </c>
      <c r="B1" s="250"/>
      <c r="C1" s="250"/>
      <c r="D1" s="250"/>
      <c r="E1" s="250"/>
      <c r="F1" s="251"/>
      <c r="G1" s="252">
        <v>44328</v>
      </c>
      <c r="H1" s="253"/>
      <c r="I1" s="254"/>
      <c r="J1" s="249" t="s">
        <v>1</v>
      </c>
      <c r="K1" s="250"/>
      <c r="L1" s="250"/>
      <c r="M1" s="250"/>
      <c r="N1" s="250"/>
      <c r="O1" s="251"/>
      <c r="Q1" s="249" t="s">
        <v>2</v>
      </c>
      <c r="R1" s="251"/>
    </row>
    <row r="2" spans="1:19" ht="17.25" customHeight="1">
      <c r="A2" s="116" t="s">
        <v>3</v>
      </c>
      <c r="B2" s="323" t="s">
        <v>8</v>
      </c>
      <c r="C2" s="324"/>
      <c r="D2" s="324"/>
      <c r="E2" s="324"/>
      <c r="F2" s="325"/>
      <c r="G2" s="258" t="s">
        <v>46</v>
      </c>
      <c r="H2" s="259"/>
      <c r="I2" s="260"/>
      <c r="J2" s="116" t="s">
        <v>3</v>
      </c>
      <c r="K2" s="323" t="s">
        <v>376</v>
      </c>
      <c r="L2" s="324"/>
      <c r="M2" s="324"/>
      <c r="N2" s="324"/>
      <c r="O2" s="325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20" t="s">
        <v>384</v>
      </c>
      <c r="C3" s="321"/>
      <c r="D3" s="321"/>
      <c r="E3" s="321"/>
      <c r="F3" s="322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-39,606 KRW (-1.32%)</v>
      </c>
      <c r="H3" s="265"/>
      <c r="I3" s="266"/>
      <c r="J3" s="117" t="s">
        <v>7</v>
      </c>
      <c r="K3" s="320" t="s">
        <v>377</v>
      </c>
      <c r="L3" s="321"/>
      <c r="M3" s="321"/>
      <c r="N3" s="321"/>
      <c r="O3" s="322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20" t="s">
        <v>16</v>
      </c>
      <c r="C4" s="321"/>
      <c r="D4" s="321"/>
      <c r="E4" s="321"/>
      <c r="F4" s="322"/>
      <c r="G4" s="258" t="s">
        <v>44</v>
      </c>
      <c r="H4" s="259"/>
      <c r="I4" s="260"/>
      <c r="J4" s="117" t="s">
        <v>11</v>
      </c>
      <c r="K4" s="320" t="s">
        <v>378</v>
      </c>
      <c r="L4" s="321"/>
      <c r="M4" s="321"/>
      <c r="N4" s="321"/>
      <c r="O4" s="322"/>
      <c r="Q4" s="212" t="s">
        <v>14</v>
      </c>
      <c r="R4" s="198">
        <v>0.95833333333333337</v>
      </c>
    </row>
    <row r="5" spans="1:19" ht="17.25" customHeight="1" thickBot="1">
      <c r="A5" s="117" t="s">
        <v>15</v>
      </c>
      <c r="B5" s="320" t="s">
        <v>374</v>
      </c>
      <c r="C5" s="321"/>
      <c r="D5" s="321"/>
      <c r="E5" s="321"/>
      <c r="F5" s="322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-42,105 KRW (-1.48%)</v>
      </c>
      <c r="H5" s="265"/>
      <c r="I5" s="266"/>
      <c r="J5" s="117" t="s">
        <v>15</v>
      </c>
      <c r="K5" s="320" t="s">
        <v>379</v>
      </c>
      <c r="L5" s="321"/>
      <c r="M5" s="321"/>
      <c r="N5" s="321"/>
      <c r="O5" s="322"/>
    </row>
    <row r="6" spans="1:19">
      <c r="A6" s="117" t="s">
        <v>18</v>
      </c>
      <c r="B6" s="320"/>
      <c r="C6" s="321"/>
      <c r="D6" s="321"/>
      <c r="E6" s="321"/>
      <c r="F6" s="322"/>
      <c r="G6" s="258" t="s">
        <v>45</v>
      </c>
      <c r="H6" s="259"/>
      <c r="I6" s="260"/>
      <c r="J6" s="117" t="s">
        <v>18</v>
      </c>
      <c r="K6" s="320" t="s">
        <v>380</v>
      </c>
      <c r="L6" s="321"/>
      <c r="M6" s="321"/>
      <c r="N6" s="321"/>
      <c r="O6" s="322"/>
    </row>
    <row r="7" spans="1:19" ht="17.25" thickBot="1">
      <c r="A7" s="117" t="s">
        <v>21</v>
      </c>
      <c r="B7" s="320"/>
      <c r="C7" s="321"/>
      <c r="D7" s="321"/>
      <c r="E7" s="321"/>
      <c r="F7" s="322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41,964 KRW (1.40%)</v>
      </c>
      <c r="H7" s="265"/>
      <c r="I7" s="266"/>
      <c r="J7" s="117" t="s">
        <v>21</v>
      </c>
      <c r="K7" s="320" t="s">
        <v>381</v>
      </c>
      <c r="L7" s="321"/>
      <c r="M7" s="321"/>
      <c r="N7" s="321"/>
      <c r="O7" s="322"/>
    </row>
    <row r="8" spans="1:19" ht="17.25" thickBot="1">
      <c r="A8" s="117" t="s">
        <v>24</v>
      </c>
      <c r="B8" s="320"/>
      <c r="C8" s="321"/>
      <c r="D8" s="321"/>
      <c r="E8" s="321"/>
      <c r="F8" s="322"/>
      <c r="G8" s="258" t="s">
        <v>285</v>
      </c>
      <c r="H8" s="259"/>
      <c r="I8" s="260"/>
      <c r="J8" s="117" t="s">
        <v>24</v>
      </c>
      <c r="K8" s="320"/>
      <c r="L8" s="321"/>
      <c r="M8" s="321"/>
      <c r="N8" s="321"/>
      <c r="O8" s="322"/>
      <c r="Q8" s="249" t="s">
        <v>27</v>
      </c>
      <c r="R8" s="251"/>
    </row>
    <row r="9" spans="1:19" ht="17.25" thickBot="1">
      <c r="A9" s="117" t="s">
        <v>28</v>
      </c>
      <c r="B9" s="320"/>
      <c r="C9" s="321"/>
      <c r="D9" s="321"/>
      <c r="E9" s="321"/>
      <c r="F9" s="322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33,391 KRW (1.11%)</v>
      </c>
      <c r="H9" s="265"/>
      <c r="I9" s="266"/>
      <c r="J9" s="117" t="s">
        <v>28</v>
      </c>
      <c r="K9" s="320"/>
      <c r="L9" s="321"/>
      <c r="M9" s="321"/>
      <c r="N9" s="321"/>
      <c r="O9" s="322"/>
      <c r="Q9" s="120" t="s">
        <v>29</v>
      </c>
      <c r="R9" s="199">
        <v>10</v>
      </c>
    </row>
    <row r="10" spans="1:19">
      <c r="A10" s="117" t="s">
        <v>30</v>
      </c>
      <c r="B10" s="320"/>
      <c r="C10" s="321"/>
      <c r="D10" s="321"/>
      <c r="E10" s="321"/>
      <c r="F10" s="322"/>
      <c r="G10" s="258" t="s">
        <v>47</v>
      </c>
      <c r="H10" s="259"/>
      <c r="I10" s="260"/>
      <c r="J10" s="117" t="s">
        <v>30</v>
      </c>
      <c r="K10" s="320" t="s">
        <v>382</v>
      </c>
      <c r="L10" s="321"/>
      <c r="M10" s="321"/>
      <c r="N10" s="321"/>
      <c r="O10" s="322"/>
      <c r="Q10" s="120" t="s">
        <v>31</v>
      </c>
      <c r="R10" s="199">
        <v>100</v>
      </c>
    </row>
    <row r="11" spans="1:19" ht="17.25" thickBot="1">
      <c r="A11" s="118" t="s">
        <v>32</v>
      </c>
      <c r="B11" s="317" t="s">
        <v>383</v>
      </c>
      <c r="C11" s="318"/>
      <c r="D11" s="318"/>
      <c r="E11" s="318"/>
      <c r="F11" s="319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-39,606 KRW (-1.32%)</v>
      </c>
      <c r="H11" s="265"/>
      <c r="I11" s="266"/>
      <c r="J11" s="118" t="s">
        <v>32</v>
      </c>
      <c r="K11" s="317" t="s">
        <v>373</v>
      </c>
      <c r="L11" s="318"/>
      <c r="M11" s="318"/>
      <c r="N11" s="318"/>
      <c r="O11" s="319"/>
      <c r="Q11" s="212" t="s">
        <v>33</v>
      </c>
      <c r="R11" s="200">
        <v>1000</v>
      </c>
    </row>
    <row r="12" spans="1:19" ht="17.25" thickBot="1"/>
    <row r="13" spans="1:19" ht="17.25" customHeight="1" thickBot="1">
      <c r="A13" s="249" t="s">
        <v>34</v>
      </c>
      <c r="B13" s="250"/>
      <c r="C13" s="250"/>
      <c r="D13" s="250"/>
      <c r="E13" s="250"/>
      <c r="F13" s="250"/>
      <c r="G13" s="250"/>
      <c r="H13" s="250"/>
      <c r="I13" s="250"/>
      <c r="J13" s="250"/>
      <c r="K13" s="250"/>
      <c r="L13" s="250"/>
      <c r="M13" s="250"/>
      <c r="N13" s="250"/>
      <c r="O13" s="251"/>
      <c r="Q13" s="270"/>
      <c r="R13" s="270"/>
      <c r="S13" s="270"/>
    </row>
    <row r="14" spans="1:19" ht="17.25" customHeight="1" thickBot="1">
      <c r="A14" s="209" t="s">
        <v>35</v>
      </c>
      <c r="B14" s="249" t="s">
        <v>36</v>
      </c>
      <c r="C14" s="251"/>
      <c r="D14" s="249" t="s">
        <v>37</v>
      </c>
      <c r="E14" s="250"/>
      <c r="F14" s="251"/>
      <c r="G14" s="276">
        <f>_xlfn.IFNA(VLOOKUP(B14, 현재가테이블!$B$2:$D$200, 2, FALSE), "-")</f>
        <v>60874000</v>
      </c>
      <c r="H14" s="277"/>
      <c r="I14" s="278"/>
      <c r="J14" s="249" t="s">
        <v>38</v>
      </c>
      <c r="K14" s="250"/>
      <c r="L14" s="251"/>
      <c r="M14" s="279">
        <f>_xlfn.IFNA(VLOOKUP(B14, 현재가테이블!$B$2:$D$200, 3, FALSE), "-")</f>
        <v>-1.4936000099999999E-2</v>
      </c>
      <c r="N14" s="280"/>
      <c r="O14" s="281"/>
      <c r="Q14" s="270"/>
      <c r="R14" s="270"/>
      <c r="S14" s="270"/>
    </row>
    <row r="15" spans="1:19" ht="17.25" customHeight="1" thickBot="1">
      <c r="A15" s="314" t="s">
        <v>39</v>
      </c>
      <c r="B15" s="315" t="str">
        <f>TEXT($G$1, "[$-ko-KR]yyyy-mm-dd(ddd) ") &amp; "오전 00:00"</f>
        <v>2021-05-12(수) 오전 00:00</v>
      </c>
      <c r="C15" s="316"/>
      <c r="D15" s="249" t="str">
        <f>TEXT($G$1, "[$-ko-KR]yyyy-mm-dd(ddd) ") &amp; "오후 14:00"</f>
        <v>2021-05-12(수) 오후 14:00</v>
      </c>
      <c r="E15" s="250"/>
      <c r="F15" s="251"/>
      <c r="G15" s="249" t="str">
        <f>TEXT($G$1, "[$-ko-KR]yyyy-mm-dd(ddd) ") &amp; "오후 19:00"</f>
        <v>2021-05-12(수) 오후 19:00</v>
      </c>
      <c r="H15" s="250"/>
      <c r="I15" s="251"/>
      <c r="J15" s="249" t="str">
        <f>TEXT($G$1, "[$-ko-KR]yyyy-mm-dd(ddd) ") &amp; "오후 21:00"</f>
        <v>2021-05-12(수) 오후 21:00</v>
      </c>
      <c r="K15" s="250"/>
      <c r="L15" s="251"/>
      <c r="M15" s="249" t="str">
        <f>TEXT($G$1+1, "[$-ko-KR]yyyy-mm-dd(ddd) ") &amp; "오전 00:00"</f>
        <v>2021-05-13(목) 오전 00:00</v>
      </c>
      <c r="N15" s="250"/>
      <c r="O15" s="251"/>
      <c r="Q15" s="270"/>
      <c r="R15" s="270"/>
      <c r="S15" s="270"/>
    </row>
    <row r="16" spans="1:19" ht="17.25" customHeight="1" thickBot="1">
      <c r="A16" s="314"/>
      <c r="B16" s="120" t="s">
        <v>37</v>
      </c>
      <c r="C16" s="121" t="s">
        <v>38</v>
      </c>
      <c r="D16" s="120" t="s">
        <v>37</v>
      </c>
      <c r="E16" s="121" t="s">
        <v>40</v>
      </c>
      <c r="F16" s="216" t="s">
        <v>41</v>
      </c>
      <c r="G16" s="209" t="s">
        <v>37</v>
      </c>
      <c r="H16" s="210" t="s">
        <v>40</v>
      </c>
      <c r="I16" s="211" t="s">
        <v>41</v>
      </c>
      <c r="J16" s="121" t="s">
        <v>37</v>
      </c>
      <c r="K16" s="121" t="s">
        <v>40</v>
      </c>
      <c r="L16" s="213" t="s">
        <v>41</v>
      </c>
      <c r="M16" s="120" t="s">
        <v>37</v>
      </c>
      <c r="N16" s="121" t="s">
        <v>40</v>
      </c>
      <c r="O16" s="214" t="s">
        <v>41</v>
      </c>
      <c r="Q16" s="275"/>
      <c r="R16" s="275"/>
      <c r="S16" s="275"/>
    </row>
    <row r="17" spans="1:19" ht="17.25" customHeight="1" thickBot="1">
      <c r="A17" s="122" t="s">
        <v>236</v>
      </c>
      <c r="B17" s="123">
        <f>IF(NOT(ISBLANK(_xlfn.IFNA(VLOOKUP($A17, $A$40:$O$199, 2, FALSE), ))), _xlfn.IFNA(VLOOKUP($A17, $A$40:$O$199, 2, FALSE), ), "")</f>
        <v>99.4</v>
      </c>
      <c r="C17" s="72">
        <f>IF(NOT(ISBLANK(_xlfn.IFNA(VLOOKUP($A17, $A$40:$O$199, 3, FALSE), ))), _xlfn.IFNA(VLOOKUP($A17, $A$40:$O$199, 3, FALSE), ), "")</f>
        <v>0.61363636359999996</v>
      </c>
      <c r="D17" s="123">
        <f>IF(NOT(ISBLANK(_xlfn.IFNA(VLOOKUP($A17, $A$40:$O$199, 4, FALSE), ))), _xlfn.IFNA(VLOOKUP($A17, $A$40:$O$199, 4, FALSE), ), "")</f>
        <v>92.6</v>
      </c>
      <c r="E17" s="72">
        <f>IF(NOT(ISBLANK(_xlfn.IFNA(VLOOKUP($A17, $A$40:$O$199, 5, FALSE), ))), _xlfn.IFNA(VLOOKUP($A17, $A$40:$O$199, 5, FALSE), ), "")</f>
        <v>-6.8410462776660075E-2</v>
      </c>
      <c r="F17" s="140">
        <f>IF(NOT(ISBLANK(_xlfn.IFNA(VLOOKUP($A17, $A$40:$O$199, 6, FALSE), ))), _xlfn.IFNA(VLOOKUP($A17, $A$40:$O$199, 6, FALSE), ), "")</f>
        <v>-10261.569416499011</v>
      </c>
      <c r="G17" s="38">
        <f>IF(NOT(ISBLANK(_xlfn.IFNA(VLOOKUP($A17, $A$40:$O$199, 7, FALSE), ))), _xlfn.IFNA(VLOOKUP($A17, $A$40:$O$199, 7, FALSE), ), "")</f>
        <v>91.3</v>
      </c>
      <c r="H17" s="72">
        <f>IF(NOT(ISBLANK(_xlfn.IFNA(VLOOKUP($A17, $A$40:$O$199, 8, FALSE), ))), _xlfn.IFNA(VLOOKUP($A17, $A$40:$O$199, 8, FALSE), ), "")</f>
        <v>-8.1488933601609734E-2</v>
      </c>
      <c r="I17" s="201">
        <f>IF(NOT(ISBLANK(_xlfn.IFNA(VLOOKUP($A17, $A$40:$O$199, 9, FALSE), ))), _xlfn.IFNA(VLOOKUP($A17, $A$40:$O$199, 9, FALSE), ), "")</f>
        <v>-12223.340040241461</v>
      </c>
      <c r="J17" s="123">
        <f>IF(NOT(ISBLANK(_xlfn.IFNA(VLOOKUP($A17, $A$40:$O$199, 10, FALSE), ))), _xlfn.IFNA(VLOOKUP($A17, $A$40:$O$199, 10, FALSE), ), "")</f>
        <v>90.7</v>
      </c>
      <c r="K17" s="72">
        <f>IF(NOT(ISBLANK(_xlfn.IFNA(VLOOKUP($A17, $A$40:$O$199, 11, FALSE), ))), _xlfn.IFNA(VLOOKUP($A17, $A$40:$O$199, 11, FALSE), ), "")</f>
        <v>-8.7525150905432614E-2</v>
      </c>
      <c r="L17" s="140">
        <f>IF(NOT(ISBLANK(_xlfn.IFNA(VLOOKUP($A17, $A$40:$O$199, 12, FALSE), ))), _xlfn.IFNA(VLOOKUP($A17, $A$40:$O$199, 12, FALSE), ), "")</f>
        <v>-13128.772635814892</v>
      </c>
      <c r="M17" s="38">
        <f>IF(NOT(ISBLANK(_xlfn.IFNA(VLOOKUP($A17, $A$40:$O$199, 13, FALSE), ))), _xlfn.IFNA(VLOOKUP($A17, $A$40:$O$199, 13, FALSE), ), "")</f>
        <v>83.6</v>
      </c>
      <c r="N17" s="72">
        <f>IF(NOT(ISBLANK(_xlfn.IFNA(VLOOKUP($A17, $A$40:$O$199, 14, FALSE), ))), _xlfn.IFNA(VLOOKUP($A17, $A$40:$O$199, 14, FALSE), ), "")</f>
        <v>-0.15895372233400412</v>
      </c>
      <c r="O17" s="140">
        <f>IF(NOT(ISBLANK(_xlfn.IFNA(VLOOKUP($A17, $A$40:$O$199, 15, FALSE), ))), _xlfn.IFNA(VLOOKUP($A17, $A$40:$O$199, 15, FALSE), ), "")</f>
        <v>-23843.058350100619</v>
      </c>
      <c r="Q17" s="270"/>
      <c r="R17" s="270"/>
      <c r="S17" s="270"/>
    </row>
    <row r="18" spans="1:19" ht="17.25" customHeight="1" thickBot="1">
      <c r="A18" s="124" t="s">
        <v>86</v>
      </c>
      <c r="B18" s="125">
        <f t="shared" ref="B18:B36" si="0">IF(NOT(ISBLANK(_xlfn.IFNA(VLOOKUP($A18, $A$40:$O$199, 2, FALSE), ))), _xlfn.IFNA(VLOOKUP($A18, $A$40:$O$199, 2, FALSE), ), "")</f>
        <v>15050</v>
      </c>
      <c r="C18" s="73">
        <f t="shared" ref="C18:C36" si="1">IF(NOT(ISBLANK(_xlfn.IFNA(VLOOKUP($A18, $A$40:$O$199, 3, FALSE), ))), _xlfn.IFNA(VLOOKUP($A18, $A$40:$O$199, 3, FALSE), ), "")</f>
        <v>0.27758913410000002</v>
      </c>
      <c r="D18" s="125">
        <f t="shared" ref="D18:D36" si="2">IF(NOT(ISBLANK(_xlfn.IFNA(VLOOKUP($A18, $A$40:$O$199, 4, FALSE), ))), _xlfn.IFNA(VLOOKUP($A18, $A$40:$O$199, 4, FALSE), ), "")</f>
        <v>16510</v>
      </c>
      <c r="E18" s="73">
        <f t="shared" ref="E18:E36" si="3">IF(NOT(ISBLANK(_xlfn.IFNA(VLOOKUP($A18, $A$40:$O$199, 5, FALSE), ))), _xlfn.IFNA(VLOOKUP($A18, $A$40:$O$199, 5, FALSE), ), "")</f>
        <v>9.700996677740864E-2</v>
      </c>
      <c r="F18" s="136">
        <f t="shared" ref="F18:F36" si="4">IF(NOT(ISBLANK(_xlfn.IFNA(VLOOKUP($A18, $A$40:$O$199, 6, FALSE), ))), _xlfn.IFNA(VLOOKUP($A18, $A$40:$O$199, 6, FALSE), ), "")</f>
        <v>14551.495016611296</v>
      </c>
      <c r="G18" s="39">
        <f t="shared" ref="G18:G36" si="5">IF(NOT(ISBLANK(_xlfn.IFNA(VLOOKUP($A18, $A$40:$O$199, 7, FALSE), ))), _xlfn.IFNA(VLOOKUP($A18, $A$40:$O$199, 7, FALSE), ), "")</f>
        <v>16110</v>
      </c>
      <c r="H18" s="73">
        <f t="shared" ref="H18:H36" si="6">IF(NOT(ISBLANK(_xlfn.IFNA(VLOOKUP($A18, $A$40:$O$199, 8, FALSE), ))), _xlfn.IFNA(VLOOKUP($A18, $A$40:$O$199, 8, FALSE), ), "")</f>
        <v>7.0431893687707636E-2</v>
      </c>
      <c r="I18" s="202">
        <f t="shared" ref="I18:I36" si="7">IF(NOT(ISBLANK(_xlfn.IFNA(VLOOKUP($A18, $A$40:$O$199, 9, FALSE), ))), _xlfn.IFNA(VLOOKUP($A18, $A$40:$O$199, 9, FALSE), ), "")</f>
        <v>10564.784053156145</v>
      </c>
      <c r="J18" s="125">
        <f t="shared" ref="J18:J36" si="8">IF(NOT(ISBLANK(_xlfn.IFNA(VLOOKUP($A18, $A$40:$O$199, 10, FALSE), ))), _xlfn.IFNA(VLOOKUP($A18, $A$40:$O$199, 10, FALSE), ), "")</f>
        <v>16010</v>
      </c>
      <c r="K18" s="73">
        <f t="shared" ref="K18:K36" si="9">IF(NOT(ISBLANK(_xlfn.IFNA(VLOOKUP($A18, $A$40:$O$199, 11, FALSE), ))), _xlfn.IFNA(VLOOKUP($A18, $A$40:$O$199, 11, FALSE), ), "")</f>
        <v>6.3787375415282385E-2</v>
      </c>
      <c r="L18" s="136">
        <f t="shared" ref="L18:L36" si="10">IF(NOT(ISBLANK(_xlfn.IFNA(VLOOKUP($A18, $A$40:$O$199, 12, FALSE), ))), _xlfn.IFNA(VLOOKUP($A18, $A$40:$O$199, 12, FALSE), ), "")</f>
        <v>9568.106312292357</v>
      </c>
      <c r="M18" s="39">
        <f t="shared" ref="M18:M36" si="11">IF(NOT(ISBLANK(_xlfn.IFNA(VLOOKUP($A18, $A$40:$O$199, 13, FALSE), ))), _xlfn.IFNA(VLOOKUP($A18, $A$40:$O$199, 13, FALSE), ), "")</f>
        <v>15160</v>
      </c>
      <c r="N18" s="73">
        <f t="shared" ref="N18:N36" si="12">IF(NOT(ISBLANK(_xlfn.IFNA(VLOOKUP($A18, $A$40:$O$199, 14, FALSE), ))), _xlfn.IFNA(VLOOKUP($A18, $A$40:$O$199, 14, FALSE), ), "")</f>
        <v>7.3089700996677737E-3</v>
      </c>
      <c r="O18" s="136">
        <f t="shared" ref="O18:O36" si="13">IF(NOT(ISBLANK(_xlfn.IFNA(VLOOKUP($A18, $A$40:$O$199, 15, FALSE), ))), _xlfn.IFNA(VLOOKUP($A18, $A$40:$O$199, 15, FALSE), ), "")</f>
        <v>1096.345514950166</v>
      </c>
      <c r="Q18" s="270"/>
      <c r="R18" s="270"/>
      <c r="S18" s="270"/>
    </row>
    <row r="19" spans="1:19" ht="17.25" customHeight="1" thickBot="1">
      <c r="A19" s="124" t="s">
        <v>214</v>
      </c>
      <c r="B19" s="125">
        <f t="shared" si="0"/>
        <v>22.1</v>
      </c>
      <c r="C19" s="73">
        <f t="shared" si="1"/>
        <v>0.15706806279999999</v>
      </c>
      <c r="D19" s="125">
        <f t="shared" si="2"/>
        <v>22.2</v>
      </c>
      <c r="E19" s="73">
        <f t="shared" si="3"/>
        <v>4.5248868778279576E-3</v>
      </c>
      <c r="F19" s="136">
        <f t="shared" si="4"/>
        <v>678.73303167419363</v>
      </c>
      <c r="G19" s="39">
        <f t="shared" si="5"/>
        <v>23.3</v>
      </c>
      <c r="H19" s="73">
        <f t="shared" si="6"/>
        <v>5.4298642533936618E-2</v>
      </c>
      <c r="I19" s="202">
        <f t="shared" si="7"/>
        <v>8144.7963800904927</v>
      </c>
      <c r="J19" s="125">
        <f t="shared" si="8"/>
        <v>25.9</v>
      </c>
      <c r="K19" s="73">
        <f t="shared" si="9"/>
        <v>0.17194570135746592</v>
      </c>
      <c r="L19" s="136">
        <f t="shared" si="10"/>
        <v>25791.855203619889</v>
      </c>
      <c r="M19" s="39">
        <f t="shared" si="11"/>
        <v>22.4</v>
      </c>
      <c r="N19" s="73">
        <f t="shared" si="12"/>
        <v>1.3574660633484033E-2</v>
      </c>
      <c r="O19" s="136">
        <f t="shared" si="13"/>
        <v>2036.199095022605</v>
      </c>
      <c r="Q19" s="275"/>
      <c r="R19" s="275"/>
      <c r="S19" s="275"/>
    </row>
    <row r="20" spans="1:19" ht="17.25" customHeight="1" thickBot="1">
      <c r="A20" s="124" t="s">
        <v>254</v>
      </c>
      <c r="B20" s="125">
        <f t="shared" si="0"/>
        <v>88.5</v>
      </c>
      <c r="C20" s="73">
        <f t="shared" si="1"/>
        <v>0.1538461538</v>
      </c>
      <c r="D20" s="125">
        <f t="shared" si="2"/>
        <v>84.5</v>
      </c>
      <c r="E20" s="73">
        <f t="shared" si="3"/>
        <v>-4.519774011299435E-2</v>
      </c>
      <c r="F20" s="136">
        <f t="shared" si="4"/>
        <v>-6779.6610169491523</v>
      </c>
      <c r="G20" s="39">
        <f t="shared" si="5"/>
        <v>85.2</v>
      </c>
      <c r="H20" s="73">
        <f t="shared" si="6"/>
        <v>-3.7288135593220306E-2</v>
      </c>
      <c r="I20" s="202">
        <f t="shared" si="7"/>
        <v>-5593.2203389830456</v>
      </c>
      <c r="J20" s="125">
        <f t="shared" si="8"/>
        <v>85.4</v>
      </c>
      <c r="K20" s="73">
        <f t="shared" si="9"/>
        <v>-3.502824858757056E-2</v>
      </c>
      <c r="L20" s="136">
        <f t="shared" si="10"/>
        <v>-5254.2372881355841</v>
      </c>
      <c r="M20" s="39">
        <f t="shared" si="11"/>
        <v>82.8</v>
      </c>
      <c r="N20" s="73">
        <f t="shared" si="12"/>
        <v>-6.4406779661016975E-2</v>
      </c>
      <c r="O20" s="136">
        <f t="shared" si="13"/>
        <v>-9661.0169491525467</v>
      </c>
      <c r="Q20" s="275"/>
      <c r="R20" s="275"/>
      <c r="S20" s="275"/>
    </row>
    <row r="21" spans="1:19" ht="17.25" customHeight="1" thickBot="1">
      <c r="A21" s="126" t="s">
        <v>144</v>
      </c>
      <c r="B21" s="127">
        <f t="shared" si="0"/>
        <v>14490</v>
      </c>
      <c r="C21" s="74">
        <f t="shared" si="1"/>
        <v>0.13647058819999999</v>
      </c>
      <c r="D21" s="127">
        <f t="shared" si="2"/>
        <v>14410</v>
      </c>
      <c r="E21" s="74">
        <f t="shared" si="3"/>
        <v>-5.521048999309869E-3</v>
      </c>
      <c r="F21" s="203">
        <f t="shared" si="4"/>
        <v>-828.15734989648035</v>
      </c>
      <c r="G21" s="44">
        <f t="shared" si="5"/>
        <v>13930</v>
      </c>
      <c r="H21" s="74">
        <f t="shared" si="6"/>
        <v>-3.864734299516908E-2</v>
      </c>
      <c r="I21" s="204">
        <f t="shared" si="7"/>
        <v>-5797.101449275362</v>
      </c>
      <c r="J21" s="127">
        <f t="shared" si="8"/>
        <v>14170</v>
      </c>
      <c r="K21" s="74">
        <f t="shared" si="9"/>
        <v>-2.2084195997239476E-2</v>
      </c>
      <c r="L21" s="203">
        <f t="shared" si="10"/>
        <v>-3312.6293995859214</v>
      </c>
      <c r="M21" s="44">
        <f t="shared" si="11"/>
        <v>13770</v>
      </c>
      <c r="N21" s="74">
        <f t="shared" si="12"/>
        <v>-4.9689440993788817E-2</v>
      </c>
      <c r="O21" s="203">
        <f t="shared" si="13"/>
        <v>-7453.4161490683227</v>
      </c>
      <c r="Q21" s="275"/>
      <c r="R21" s="275"/>
      <c r="S21" s="275"/>
    </row>
    <row r="22" spans="1:19" ht="17.25" customHeight="1" thickBot="1">
      <c r="A22" s="124" t="s">
        <v>268</v>
      </c>
      <c r="B22" s="128">
        <f t="shared" si="0"/>
        <v>89.4</v>
      </c>
      <c r="C22" s="76">
        <f t="shared" si="1"/>
        <v>9.9630996299999997E-2</v>
      </c>
      <c r="D22" s="128">
        <f t="shared" si="2"/>
        <v>89.1</v>
      </c>
      <c r="E22" s="76">
        <f t="shared" si="3"/>
        <v>-3.3557046979867042E-3</v>
      </c>
      <c r="F22" s="205">
        <f t="shared" si="4"/>
        <v>-503.35570469800564</v>
      </c>
      <c r="G22" s="45">
        <f t="shared" si="5"/>
        <v>90.5</v>
      </c>
      <c r="H22" s="76">
        <f t="shared" si="6"/>
        <v>1.2304250559284052E-2</v>
      </c>
      <c r="I22" s="206">
        <f t="shared" si="7"/>
        <v>1845.6375838926078</v>
      </c>
      <c r="J22" s="128">
        <f t="shared" si="8"/>
        <v>91.3</v>
      </c>
      <c r="K22" s="76">
        <f t="shared" si="9"/>
        <v>2.125279642058156E-2</v>
      </c>
      <c r="L22" s="205">
        <f t="shared" si="10"/>
        <v>3187.9194630872339</v>
      </c>
      <c r="M22" s="45">
        <f t="shared" si="11"/>
        <v>87.6</v>
      </c>
      <c r="N22" s="76">
        <f t="shared" si="12"/>
        <v>-2.013422818791959E-2</v>
      </c>
      <c r="O22" s="205">
        <f t="shared" si="13"/>
        <v>-3020.1342281879383</v>
      </c>
      <c r="Q22" s="275"/>
      <c r="R22" s="275"/>
      <c r="S22" s="275"/>
    </row>
    <row r="23" spans="1:19" ht="17.25" customHeight="1" thickBot="1">
      <c r="A23" s="124" t="s">
        <v>126</v>
      </c>
      <c r="B23" s="125">
        <f t="shared" si="0"/>
        <v>57.7</v>
      </c>
      <c r="C23" s="73">
        <f t="shared" si="1"/>
        <v>9.4876660299999999E-2</v>
      </c>
      <c r="D23" s="125">
        <f t="shared" si="2"/>
        <v>56.7</v>
      </c>
      <c r="E23" s="73">
        <f t="shared" si="3"/>
        <v>-1.7331022530329289E-2</v>
      </c>
      <c r="F23" s="136">
        <f t="shared" si="4"/>
        <v>-2599.6533795493933</v>
      </c>
      <c r="G23" s="39">
        <f t="shared" si="5"/>
        <v>56.3</v>
      </c>
      <c r="H23" s="73">
        <f t="shared" si="6"/>
        <v>-2.4263431542461102E-2</v>
      </c>
      <c r="I23" s="202">
        <f t="shared" si="7"/>
        <v>-3639.5147313691655</v>
      </c>
      <c r="J23" s="125">
        <f t="shared" si="8"/>
        <v>56.3</v>
      </c>
      <c r="K23" s="73">
        <f t="shared" si="9"/>
        <v>-2.4263431542461102E-2</v>
      </c>
      <c r="L23" s="136">
        <f t="shared" si="10"/>
        <v>-3639.5147313691655</v>
      </c>
      <c r="M23" s="39">
        <f t="shared" si="11"/>
        <v>54.6</v>
      </c>
      <c r="N23" s="73">
        <f t="shared" si="12"/>
        <v>-5.3726169844020816E-2</v>
      </c>
      <c r="O23" s="136">
        <f t="shared" si="13"/>
        <v>-8058.9254766031227</v>
      </c>
      <c r="Q23" s="275"/>
      <c r="R23" s="275"/>
      <c r="S23" s="275"/>
    </row>
    <row r="24" spans="1:19" ht="17.25" customHeight="1" thickBot="1">
      <c r="A24" s="124" t="s">
        <v>230</v>
      </c>
      <c r="B24" s="125">
        <f t="shared" si="0"/>
        <v>164</v>
      </c>
      <c r="C24" s="73">
        <f t="shared" si="1"/>
        <v>7.8947368399999995E-2</v>
      </c>
      <c r="D24" s="125">
        <f t="shared" si="2"/>
        <v>169</v>
      </c>
      <c r="E24" s="73">
        <f t="shared" si="3"/>
        <v>3.048780487804878E-2</v>
      </c>
      <c r="F24" s="136">
        <f t="shared" si="4"/>
        <v>4573.1707317073169</v>
      </c>
      <c r="G24" s="39">
        <f t="shared" si="5"/>
        <v>170</v>
      </c>
      <c r="H24" s="73">
        <f t="shared" si="6"/>
        <v>3.6585365853658534E-2</v>
      </c>
      <c r="I24" s="202">
        <f t="shared" si="7"/>
        <v>5487.8048780487798</v>
      </c>
      <c r="J24" s="125">
        <f t="shared" si="8"/>
        <v>171</v>
      </c>
      <c r="K24" s="73">
        <f t="shared" si="9"/>
        <v>4.2682926829268296E-2</v>
      </c>
      <c r="L24" s="136">
        <f t="shared" si="10"/>
        <v>6402.4390243902444</v>
      </c>
      <c r="M24" s="39">
        <f t="shared" si="11"/>
        <v>168</v>
      </c>
      <c r="N24" s="73">
        <f t="shared" si="12"/>
        <v>2.4390243902439025E-2</v>
      </c>
      <c r="O24" s="136">
        <f t="shared" si="13"/>
        <v>3658.5365853658536</v>
      </c>
      <c r="Q24" s="275"/>
      <c r="R24" s="275"/>
      <c r="S24" s="275"/>
    </row>
    <row r="25" spans="1:19" ht="17.25" customHeight="1" thickBot="1">
      <c r="A25" s="124" t="s">
        <v>158</v>
      </c>
      <c r="B25" s="125">
        <f t="shared" si="0"/>
        <v>9825</v>
      </c>
      <c r="C25" s="73">
        <f t="shared" si="1"/>
        <v>7.7893582000000003E-2</v>
      </c>
      <c r="D25" s="125">
        <f t="shared" si="2"/>
        <v>10350</v>
      </c>
      <c r="E25" s="73">
        <f t="shared" si="3"/>
        <v>5.3435114503816793E-2</v>
      </c>
      <c r="F25" s="136">
        <f t="shared" si="4"/>
        <v>8015.2671755725187</v>
      </c>
      <c r="G25" s="39">
        <f t="shared" si="5"/>
        <v>10490</v>
      </c>
      <c r="H25" s="73">
        <f t="shared" si="6"/>
        <v>6.7684478371501267E-2</v>
      </c>
      <c r="I25" s="202">
        <f t="shared" si="7"/>
        <v>10152.67175572519</v>
      </c>
      <c r="J25" s="125">
        <f t="shared" si="8"/>
        <v>10460</v>
      </c>
      <c r="K25" s="73">
        <f t="shared" si="9"/>
        <v>6.463104325699745E-2</v>
      </c>
      <c r="L25" s="136">
        <f t="shared" si="10"/>
        <v>9694.6564885496173</v>
      </c>
      <c r="M25" s="39">
        <f t="shared" si="11"/>
        <v>10100</v>
      </c>
      <c r="N25" s="73">
        <f t="shared" si="12"/>
        <v>2.7989821882951654E-2</v>
      </c>
      <c r="O25" s="136">
        <f t="shared" si="13"/>
        <v>4198.4732824427483</v>
      </c>
      <c r="Q25" s="33"/>
      <c r="R25" s="33"/>
    </row>
    <row r="26" spans="1:19" ht="17.25" customHeight="1" thickBot="1">
      <c r="A26" s="129" t="s">
        <v>172</v>
      </c>
      <c r="B26" s="130">
        <f t="shared" si="0"/>
        <v>23.9</v>
      </c>
      <c r="C26" s="75">
        <f t="shared" si="1"/>
        <v>7.6576576600000001E-2</v>
      </c>
      <c r="D26" s="130">
        <f t="shared" si="2"/>
        <v>26.3</v>
      </c>
      <c r="E26" s="75">
        <f t="shared" si="3"/>
        <v>0.1004184100418411</v>
      </c>
      <c r="F26" s="137">
        <f t="shared" si="4"/>
        <v>15062.761506276165</v>
      </c>
      <c r="G26" s="37">
        <f t="shared" si="5"/>
        <v>25.5</v>
      </c>
      <c r="H26" s="75">
        <f t="shared" si="6"/>
        <v>6.6945606694560733E-2</v>
      </c>
      <c r="I26" s="207">
        <f t="shared" si="7"/>
        <v>10041.841004184111</v>
      </c>
      <c r="J26" s="130">
        <f t="shared" si="8"/>
        <v>25.8</v>
      </c>
      <c r="K26" s="75">
        <f t="shared" si="9"/>
        <v>7.9497907949790891E-2</v>
      </c>
      <c r="L26" s="137">
        <f t="shared" si="10"/>
        <v>11924.686192468635</v>
      </c>
      <c r="M26" s="37">
        <f t="shared" si="11"/>
        <v>24.3</v>
      </c>
      <c r="N26" s="75">
        <f t="shared" si="12"/>
        <v>1.6736401673640256E-2</v>
      </c>
      <c r="O26" s="137">
        <f t="shared" si="13"/>
        <v>2510.4602510460386</v>
      </c>
      <c r="Q26" s="284"/>
      <c r="R26" s="285"/>
      <c r="S26" s="286"/>
    </row>
    <row r="27" spans="1:19" ht="17.25" customHeight="1">
      <c r="A27" s="122" t="s">
        <v>218</v>
      </c>
      <c r="B27" s="123">
        <f t="shared" si="0"/>
        <v>26.8</v>
      </c>
      <c r="C27" s="72">
        <f t="shared" si="1"/>
        <v>7.1999999999999995E-2</v>
      </c>
      <c r="D27" s="123">
        <f t="shared" si="2"/>
        <v>27.7</v>
      </c>
      <c r="E27" s="72">
        <f t="shared" si="3"/>
        <v>3.358208955223875E-2</v>
      </c>
      <c r="F27" s="140">
        <f t="shared" si="4"/>
        <v>5037.3134328358128</v>
      </c>
      <c r="G27" s="38">
        <f t="shared" si="5"/>
        <v>27.5</v>
      </c>
      <c r="H27" s="72">
        <f t="shared" si="6"/>
        <v>2.6119402985074598E-2</v>
      </c>
      <c r="I27" s="201">
        <f t="shared" si="7"/>
        <v>3917.9104477611895</v>
      </c>
      <c r="J27" s="123">
        <f t="shared" si="8"/>
        <v>27.8</v>
      </c>
      <c r="K27" s="72">
        <f t="shared" si="9"/>
        <v>3.7313432835820892E-2</v>
      </c>
      <c r="L27" s="140">
        <f t="shared" si="10"/>
        <v>5597.0149253731342</v>
      </c>
      <c r="M27" s="38">
        <f t="shared" si="11"/>
        <v>26.7</v>
      </c>
      <c r="N27" s="72">
        <f t="shared" si="12"/>
        <v>-3.7313432835821424E-3</v>
      </c>
      <c r="O27" s="140">
        <f t="shared" si="13"/>
        <v>-559.70149253732131</v>
      </c>
      <c r="Q27" s="287"/>
      <c r="R27" s="288"/>
      <c r="S27" s="289"/>
    </row>
    <row r="28" spans="1:19" ht="17.25" customHeight="1" thickBot="1">
      <c r="A28" s="124" t="s">
        <v>296</v>
      </c>
      <c r="B28" s="125">
        <f t="shared" si="0"/>
        <v>616</v>
      </c>
      <c r="C28" s="73">
        <f t="shared" si="1"/>
        <v>7.1304347800000001E-2</v>
      </c>
      <c r="D28" s="125">
        <f t="shared" si="2"/>
        <v>602</v>
      </c>
      <c r="E28" s="73">
        <f t="shared" si="3"/>
        <v>-2.2727272727272728E-2</v>
      </c>
      <c r="F28" s="136">
        <f t="shared" si="4"/>
        <v>-3409.090909090909</v>
      </c>
      <c r="G28" s="39">
        <f t="shared" si="5"/>
        <v>606</v>
      </c>
      <c r="H28" s="73">
        <f t="shared" si="6"/>
        <v>-1.6233766233766232E-2</v>
      </c>
      <c r="I28" s="202">
        <f t="shared" si="7"/>
        <v>-2435.0649350649346</v>
      </c>
      <c r="J28" s="125">
        <f t="shared" si="8"/>
        <v>609</v>
      </c>
      <c r="K28" s="73">
        <f t="shared" si="9"/>
        <v>-1.1363636363636364E-2</v>
      </c>
      <c r="L28" s="136">
        <f t="shared" si="10"/>
        <v>-1704.5454545454545</v>
      </c>
      <c r="M28" s="39">
        <f t="shared" si="11"/>
        <v>588</v>
      </c>
      <c r="N28" s="73">
        <f t="shared" si="12"/>
        <v>-4.5454545454545456E-2</v>
      </c>
      <c r="O28" s="136">
        <f t="shared" si="13"/>
        <v>-6818.181818181818</v>
      </c>
      <c r="Q28" s="290"/>
      <c r="R28" s="291"/>
      <c r="S28" s="292"/>
    </row>
    <row r="29" spans="1:19" ht="17.25" customHeight="1" thickBot="1">
      <c r="A29" s="124" t="s">
        <v>222</v>
      </c>
      <c r="B29" s="125">
        <f t="shared" si="0"/>
        <v>18.100000000000001</v>
      </c>
      <c r="C29" s="73">
        <f t="shared" si="1"/>
        <v>6.4705882399999998E-2</v>
      </c>
      <c r="D29" s="125">
        <f t="shared" si="2"/>
        <v>18.899999999999999</v>
      </c>
      <c r="E29" s="73">
        <f t="shared" si="3"/>
        <v>4.4198895027624148E-2</v>
      </c>
      <c r="F29" s="136">
        <f t="shared" si="4"/>
        <v>6629.8342541436223</v>
      </c>
      <c r="G29" s="39">
        <f t="shared" si="5"/>
        <v>18.600000000000001</v>
      </c>
      <c r="H29" s="73">
        <f t="shared" si="6"/>
        <v>2.7624309392265192E-2</v>
      </c>
      <c r="I29" s="202">
        <f t="shared" si="7"/>
        <v>4143.6464088397788</v>
      </c>
      <c r="J29" s="125">
        <f t="shared" si="8"/>
        <v>19</v>
      </c>
      <c r="K29" s="73">
        <f t="shared" si="9"/>
        <v>4.9723756906077263E-2</v>
      </c>
      <c r="L29" s="136">
        <f t="shared" si="10"/>
        <v>7458.5635359115895</v>
      </c>
      <c r="M29" s="39">
        <f t="shared" si="11"/>
        <v>18.100000000000001</v>
      </c>
      <c r="N29" s="73">
        <f t="shared" si="12"/>
        <v>0</v>
      </c>
      <c r="O29" s="136">
        <f t="shared" si="13"/>
        <v>0</v>
      </c>
      <c r="Q29" s="275"/>
      <c r="R29" s="275"/>
      <c r="S29" s="275"/>
    </row>
    <row r="30" spans="1:19" ht="17.25" customHeight="1" thickBot="1">
      <c r="A30" s="124" t="s">
        <v>112</v>
      </c>
      <c r="B30" s="125">
        <f t="shared" si="0"/>
        <v>252</v>
      </c>
      <c r="C30" s="73">
        <f t="shared" si="1"/>
        <v>6.3291139199999999E-2</v>
      </c>
      <c r="D30" s="125">
        <f t="shared" si="2"/>
        <v>265</v>
      </c>
      <c r="E30" s="73">
        <f t="shared" si="3"/>
        <v>5.1587301587301584E-2</v>
      </c>
      <c r="F30" s="136">
        <f t="shared" si="4"/>
        <v>7738.0952380952376</v>
      </c>
      <c r="G30" s="39">
        <f t="shared" si="5"/>
        <v>260</v>
      </c>
      <c r="H30" s="73">
        <f t="shared" si="6"/>
        <v>3.1746031746031744E-2</v>
      </c>
      <c r="I30" s="202">
        <f t="shared" si="7"/>
        <v>4761.9047619047615</v>
      </c>
      <c r="J30" s="125">
        <f t="shared" si="8"/>
        <v>260</v>
      </c>
      <c r="K30" s="73">
        <f t="shared" si="9"/>
        <v>3.1746031746031744E-2</v>
      </c>
      <c r="L30" s="136">
        <f t="shared" si="10"/>
        <v>4761.9047619047615</v>
      </c>
      <c r="M30" s="39">
        <f t="shared" si="11"/>
        <v>252</v>
      </c>
      <c r="N30" s="73">
        <f t="shared" si="12"/>
        <v>0</v>
      </c>
      <c r="O30" s="136">
        <f t="shared" si="13"/>
        <v>0</v>
      </c>
      <c r="Q30" s="270"/>
      <c r="R30" s="270"/>
      <c r="S30" s="270"/>
    </row>
    <row r="31" spans="1:19" ht="17.25" customHeight="1" thickBot="1">
      <c r="A31" s="126" t="s">
        <v>134</v>
      </c>
      <c r="B31" s="127">
        <f t="shared" si="0"/>
        <v>156</v>
      </c>
      <c r="C31" s="74">
        <f t="shared" si="1"/>
        <v>6.1224489799999997E-2</v>
      </c>
      <c r="D31" s="127">
        <f t="shared" si="2"/>
        <v>172</v>
      </c>
      <c r="E31" s="74">
        <f t="shared" si="3"/>
        <v>0.10256410256410256</v>
      </c>
      <c r="F31" s="203">
        <f t="shared" si="4"/>
        <v>15384.615384615385</v>
      </c>
      <c r="G31" s="44">
        <f t="shared" si="5"/>
        <v>165</v>
      </c>
      <c r="H31" s="74">
        <f t="shared" si="6"/>
        <v>5.7692307692307696E-2</v>
      </c>
      <c r="I31" s="204">
        <f t="shared" si="7"/>
        <v>8653.8461538461543</v>
      </c>
      <c r="J31" s="127">
        <f t="shared" si="8"/>
        <v>167</v>
      </c>
      <c r="K31" s="74">
        <f t="shared" si="9"/>
        <v>7.0512820512820512E-2</v>
      </c>
      <c r="L31" s="203">
        <f t="shared" si="10"/>
        <v>10576.923076923076</v>
      </c>
      <c r="M31" s="44">
        <f t="shared" si="11"/>
        <v>160</v>
      </c>
      <c r="N31" s="74">
        <f t="shared" si="12"/>
        <v>2.564102564102564E-2</v>
      </c>
      <c r="O31" s="203">
        <f t="shared" si="13"/>
        <v>3846.1538461538462</v>
      </c>
      <c r="Q31" s="270"/>
      <c r="R31" s="270"/>
      <c r="S31" s="270"/>
    </row>
    <row r="32" spans="1:19" ht="17.25" customHeight="1" thickBot="1">
      <c r="A32" s="124" t="s">
        <v>98</v>
      </c>
      <c r="B32" s="128">
        <f t="shared" si="0"/>
        <v>8330</v>
      </c>
      <c r="C32" s="76">
        <f t="shared" si="1"/>
        <v>6.1146496799999998E-2</v>
      </c>
      <c r="D32" s="128">
        <f t="shared" si="2"/>
        <v>8510</v>
      </c>
      <c r="E32" s="76">
        <f t="shared" si="3"/>
        <v>2.1608643457382955E-2</v>
      </c>
      <c r="F32" s="205">
        <f t="shared" si="4"/>
        <v>3241.2965186074434</v>
      </c>
      <c r="G32" s="45">
        <f t="shared" si="5"/>
        <v>8560</v>
      </c>
      <c r="H32" s="76">
        <f t="shared" si="6"/>
        <v>2.7611044417767107E-2</v>
      </c>
      <c r="I32" s="206">
        <f t="shared" si="7"/>
        <v>4141.6566626650656</v>
      </c>
      <c r="J32" s="128">
        <f t="shared" si="8"/>
        <v>8535</v>
      </c>
      <c r="K32" s="76">
        <f t="shared" si="9"/>
        <v>2.4609843937575031E-2</v>
      </c>
      <c r="L32" s="205">
        <f t="shared" si="10"/>
        <v>3691.4765906362545</v>
      </c>
      <c r="M32" s="45">
        <f t="shared" si="11"/>
        <v>8390</v>
      </c>
      <c r="N32" s="76">
        <f t="shared" si="12"/>
        <v>7.2028811524609843E-3</v>
      </c>
      <c r="O32" s="205">
        <f t="shared" si="13"/>
        <v>1080.4321728691477</v>
      </c>
      <c r="Q32" s="275"/>
      <c r="R32" s="275"/>
      <c r="S32" s="275"/>
    </row>
    <row r="33" spans="1:19" ht="17.25" customHeight="1" thickBot="1">
      <c r="A33" s="124" t="s">
        <v>78</v>
      </c>
      <c r="B33" s="125">
        <f t="shared" si="0"/>
        <v>1776500</v>
      </c>
      <c r="C33" s="73">
        <f t="shared" si="1"/>
        <v>5.8070279900000001E-2</v>
      </c>
      <c r="D33" s="125">
        <f t="shared" si="2"/>
        <v>1903500</v>
      </c>
      <c r="E33" s="73">
        <f t="shared" si="3"/>
        <v>7.1488882634393472E-2</v>
      </c>
      <c r="F33" s="136">
        <f t="shared" si="4"/>
        <v>10723.332395159021</v>
      </c>
      <c r="G33" s="39">
        <f t="shared" si="5"/>
        <v>1830000</v>
      </c>
      <c r="H33" s="73">
        <f t="shared" si="6"/>
        <v>3.0115395440472838E-2</v>
      </c>
      <c r="I33" s="202">
        <f t="shared" si="7"/>
        <v>4517.3093160709259</v>
      </c>
      <c r="J33" s="125">
        <f t="shared" si="8"/>
        <v>1833000</v>
      </c>
      <c r="K33" s="73">
        <f t="shared" si="9"/>
        <v>3.1804109203490007E-2</v>
      </c>
      <c r="L33" s="136">
        <f t="shared" si="10"/>
        <v>4770.616380523501</v>
      </c>
      <c r="M33" s="39">
        <f t="shared" si="11"/>
        <v>1792500</v>
      </c>
      <c r="N33" s="73">
        <f t="shared" si="12"/>
        <v>9.0064734027582322E-3</v>
      </c>
      <c r="O33" s="136">
        <f t="shared" si="13"/>
        <v>1350.9710104137348</v>
      </c>
      <c r="Q33" s="275"/>
      <c r="R33" s="275"/>
      <c r="S33" s="275"/>
    </row>
    <row r="34" spans="1:19" ht="17.25" customHeight="1" thickBot="1">
      <c r="A34" s="124" t="s">
        <v>250</v>
      </c>
      <c r="B34" s="125">
        <f t="shared" si="0"/>
        <v>201</v>
      </c>
      <c r="C34" s="73">
        <f t="shared" si="1"/>
        <v>5.7894736799999999E-2</v>
      </c>
      <c r="D34" s="125">
        <f t="shared" si="2"/>
        <v>207</v>
      </c>
      <c r="E34" s="73">
        <f t="shared" si="3"/>
        <v>2.9850746268656716E-2</v>
      </c>
      <c r="F34" s="136">
        <f t="shared" si="4"/>
        <v>4477.6119402985078</v>
      </c>
      <c r="G34" s="39">
        <f t="shared" si="5"/>
        <v>206</v>
      </c>
      <c r="H34" s="73">
        <f t="shared" si="6"/>
        <v>2.4875621890547265E-2</v>
      </c>
      <c r="I34" s="202">
        <f t="shared" si="7"/>
        <v>3731.34328358209</v>
      </c>
      <c r="J34" s="125">
        <f t="shared" si="8"/>
        <v>205</v>
      </c>
      <c r="K34" s="73">
        <f t="shared" si="9"/>
        <v>1.9900497512437811E-2</v>
      </c>
      <c r="L34" s="136">
        <f t="shared" si="10"/>
        <v>2985.0746268656717</v>
      </c>
      <c r="M34" s="39">
        <f t="shared" si="11"/>
        <v>200</v>
      </c>
      <c r="N34" s="73">
        <f t="shared" si="12"/>
        <v>-4.9751243781094526E-3</v>
      </c>
      <c r="O34" s="136">
        <f t="shared" si="13"/>
        <v>-746.26865671641792</v>
      </c>
      <c r="Q34" s="275"/>
      <c r="R34" s="275"/>
      <c r="S34" s="275"/>
    </row>
    <row r="35" spans="1:19" ht="17.25" customHeight="1">
      <c r="A35" s="124" t="s">
        <v>186</v>
      </c>
      <c r="B35" s="125">
        <f t="shared" si="0"/>
        <v>23.8</v>
      </c>
      <c r="C35" s="73">
        <f t="shared" si="1"/>
        <v>5.7777777799999999E-2</v>
      </c>
      <c r="D35" s="125">
        <f t="shared" si="2"/>
        <v>24.8</v>
      </c>
      <c r="E35" s="73">
        <f t="shared" si="3"/>
        <v>4.2016806722689072E-2</v>
      </c>
      <c r="F35" s="136">
        <f t="shared" si="4"/>
        <v>6302.5210084033606</v>
      </c>
      <c r="G35" s="39">
        <f t="shared" si="5"/>
        <v>24.9</v>
      </c>
      <c r="H35" s="73">
        <f t="shared" si="6"/>
        <v>4.6218487394957895E-2</v>
      </c>
      <c r="I35" s="202">
        <f t="shared" si="7"/>
        <v>6932.7731092436843</v>
      </c>
      <c r="J35" s="125">
        <f t="shared" si="8"/>
        <v>25.1</v>
      </c>
      <c r="K35" s="73">
        <f t="shared" si="9"/>
        <v>5.4621848739495826E-2</v>
      </c>
      <c r="L35" s="136">
        <f t="shared" si="10"/>
        <v>8193.2773109243735</v>
      </c>
      <c r="M35" s="39">
        <f t="shared" si="11"/>
        <v>23.8</v>
      </c>
      <c r="N35" s="73">
        <f t="shared" si="12"/>
        <v>0</v>
      </c>
      <c r="O35" s="136">
        <f t="shared" si="13"/>
        <v>0</v>
      </c>
      <c r="Q35" s="297"/>
      <c r="R35" s="298"/>
      <c r="S35" s="299"/>
    </row>
    <row r="36" spans="1:19" ht="17.25" customHeight="1" thickBot="1">
      <c r="A36" s="129" t="s">
        <v>196</v>
      </c>
      <c r="B36" s="130">
        <f t="shared" si="0"/>
        <v>19.3</v>
      </c>
      <c r="C36" s="75">
        <f t="shared" si="1"/>
        <v>5.4644808699999999E-2</v>
      </c>
      <c r="D36" s="130">
        <f t="shared" si="2"/>
        <v>20.100000000000001</v>
      </c>
      <c r="E36" s="75">
        <f t="shared" si="3"/>
        <v>4.1450777202072575E-2</v>
      </c>
      <c r="F36" s="137">
        <f t="shared" si="4"/>
        <v>6217.6165803108861</v>
      </c>
      <c r="G36" s="37">
        <f t="shared" si="5"/>
        <v>20.100000000000001</v>
      </c>
      <c r="H36" s="75">
        <f t="shared" si="6"/>
        <v>4.1450777202072575E-2</v>
      </c>
      <c r="I36" s="207">
        <f t="shared" si="7"/>
        <v>6217.6165803108861</v>
      </c>
      <c r="J36" s="130">
        <f t="shared" si="8"/>
        <v>20</v>
      </c>
      <c r="K36" s="75">
        <f t="shared" si="9"/>
        <v>3.6269430051813434E-2</v>
      </c>
      <c r="L36" s="137">
        <f t="shared" si="10"/>
        <v>5440.414507772015</v>
      </c>
      <c r="M36" s="37">
        <f t="shared" si="11"/>
        <v>19.399999999999999</v>
      </c>
      <c r="N36" s="75">
        <f t="shared" si="12"/>
        <v>5.1813471502589565E-3</v>
      </c>
      <c r="O36" s="137">
        <f t="shared" si="13"/>
        <v>777.20207253884348</v>
      </c>
      <c r="Q36" s="300"/>
      <c r="R36" s="301"/>
      <c r="S36" s="302"/>
    </row>
    <row r="37" spans="1:19" ht="17.25" customHeight="1" thickBot="1">
      <c r="A37" s="131" t="s">
        <v>42</v>
      </c>
      <c r="B37" s="308">
        <v>150000</v>
      </c>
      <c r="C37" s="309"/>
      <c r="D37" s="131" t="s">
        <v>43</v>
      </c>
      <c r="E37" s="215">
        <f>IF(COUNT(E17:E36), SUM(E17:E36) / COUNT(E17:E36), 0)</f>
        <v>2.8084058812542601E-2</v>
      </c>
      <c r="F37" s="208">
        <f>SUM(F17:F36)</f>
        <v>84252.176437627815</v>
      </c>
      <c r="G37" s="131" t="s">
        <v>43</v>
      </c>
      <c r="H37" s="215">
        <f>IF(COUNT(H17:H36), SUM(H17:H36) / COUNT(H17:H36), 0)</f>
        <v>2.1189100294795961E-2</v>
      </c>
      <c r="I37" s="208">
        <f>SUM(I17:I36)</f>
        <v>63567.300884387907</v>
      </c>
      <c r="J37" s="131" t="s">
        <v>43</v>
      </c>
      <c r="K37" s="215">
        <f>IF(COUNT(K17:K36), SUM(K17:K36) / COUNT(K17:K36), 0)</f>
        <v>3.1001742963930445E-2</v>
      </c>
      <c r="L37" s="208">
        <f>SUM(L17:L36)</f>
        <v>93005.228891791325</v>
      </c>
      <c r="M37" s="131" t="s">
        <v>43</v>
      </c>
      <c r="N37" s="215">
        <f>IF(COUNT(N17:N36), SUM(N17:N36) / COUNT(N17:N36), 0)</f>
        <v>-1.3201976429915042E-2</v>
      </c>
      <c r="O37" s="208">
        <f>SUM(O17:O36)</f>
        <v>-39605.929289745131</v>
      </c>
      <c r="Q37" s="303"/>
      <c r="R37" s="304"/>
      <c r="S37" s="305"/>
    </row>
    <row r="38" spans="1:19" ht="17.25" customHeight="1"/>
    <row r="39" spans="1:19" ht="17.25" customHeight="1" thickBot="1"/>
    <row r="40" spans="1:19" ht="17.25" customHeight="1" thickBot="1">
      <c r="A40" s="249" t="s">
        <v>44</v>
      </c>
      <c r="B40" s="250"/>
      <c r="C40" s="250"/>
      <c r="D40" s="250"/>
      <c r="E40" s="250"/>
      <c r="F40" s="250"/>
      <c r="G40" s="250"/>
      <c r="H40" s="250"/>
      <c r="I40" s="250"/>
      <c r="J40" s="250"/>
      <c r="K40" s="250"/>
      <c r="L40" s="250"/>
      <c r="M40" s="250"/>
      <c r="N40" s="250"/>
      <c r="O40" s="251"/>
      <c r="Q40" s="270"/>
      <c r="R40" s="270"/>
      <c r="S40" s="270"/>
    </row>
    <row r="41" spans="1:19" ht="17.25" customHeight="1" thickBot="1">
      <c r="A41" s="209" t="s">
        <v>298</v>
      </c>
      <c r="B41" s="249" t="s">
        <v>49</v>
      </c>
      <c r="C41" s="251"/>
      <c r="D41" s="249" t="s">
        <v>58</v>
      </c>
      <c r="E41" s="250"/>
      <c r="F41" s="251"/>
      <c r="G41" s="276">
        <f>_xlfn.IFNA(VLOOKUP(B41, 현재가테이블!$B$2:$D$200, 2, FALSE), "-")</f>
        <v>60874000</v>
      </c>
      <c r="H41" s="277"/>
      <c r="I41" s="278"/>
      <c r="J41" s="249" t="s">
        <v>59</v>
      </c>
      <c r="K41" s="250"/>
      <c r="L41" s="251"/>
      <c r="M41" s="279">
        <f>_xlfn.IFNA(VLOOKUP(B41, 현재가테이블!$B$2:$D$200, 3, FALSE), "-")</f>
        <v>-1.4936000099999999E-2</v>
      </c>
      <c r="N41" s="280"/>
      <c r="O41" s="281"/>
      <c r="Q41" s="270"/>
      <c r="R41" s="270"/>
      <c r="S41" s="270"/>
    </row>
    <row r="42" spans="1:19" ht="17.25" customHeight="1" thickBot="1">
      <c r="A42" s="310" t="s">
        <v>55</v>
      </c>
      <c r="B42" s="312" t="str">
        <f>TEXT($G$1, "[$-ko-KR]yyyy-mm-dd(ddd) ") &amp; "오전 00:00"</f>
        <v>2021-05-12(수) 오전 00:00</v>
      </c>
      <c r="C42" s="313"/>
      <c r="D42" s="249" t="str">
        <f>TEXT($G$1, "[$-ko-KR]yyyy-mm-dd(ddd) ") &amp; "오후 14:00"</f>
        <v>2021-05-12(수) 오후 14:00</v>
      </c>
      <c r="E42" s="250"/>
      <c r="F42" s="251"/>
      <c r="G42" s="249" t="str">
        <f>TEXT($G$1, "[$-ko-KR]yyyy-mm-dd(ddd) ") &amp; "오후 19:00"</f>
        <v>2021-05-12(수) 오후 19:00</v>
      </c>
      <c r="H42" s="250"/>
      <c r="I42" s="251"/>
      <c r="J42" s="249" t="str">
        <f>TEXT($G$1, "[$-ko-KR]yyyy-mm-dd(ddd) ") &amp; "오후 21:00"</f>
        <v>2021-05-12(수) 오후 21:00</v>
      </c>
      <c r="K42" s="250"/>
      <c r="L42" s="251"/>
      <c r="M42" s="249" t="str">
        <f>TEXT($G$1+1, "[$-ko-KR]yyyy-mm-dd(ddd) ") &amp; "오전 00:00"</f>
        <v>2021-05-13(목) 오전 00:00</v>
      </c>
      <c r="N42" s="250"/>
      <c r="O42" s="251"/>
      <c r="Q42" s="270"/>
      <c r="R42" s="270"/>
      <c r="S42" s="270"/>
    </row>
    <row r="43" spans="1:19" ht="17.25" customHeight="1" thickBot="1">
      <c r="A43" s="311"/>
      <c r="B43" s="120" t="s">
        <v>58</v>
      </c>
      <c r="C43" s="121" t="s">
        <v>59</v>
      </c>
      <c r="D43" s="120" t="s">
        <v>58</v>
      </c>
      <c r="E43" s="121" t="s">
        <v>299</v>
      </c>
      <c r="F43" s="216" t="s">
        <v>300</v>
      </c>
      <c r="G43" s="209" t="s">
        <v>58</v>
      </c>
      <c r="H43" s="210" t="s">
        <v>299</v>
      </c>
      <c r="I43" s="211" t="s">
        <v>300</v>
      </c>
      <c r="J43" s="121" t="s">
        <v>58</v>
      </c>
      <c r="K43" s="121" t="s">
        <v>299</v>
      </c>
      <c r="L43" s="213" t="s">
        <v>300</v>
      </c>
      <c r="M43" s="120" t="s">
        <v>58</v>
      </c>
      <c r="N43" s="121" t="s">
        <v>299</v>
      </c>
      <c r="O43" s="214" t="s">
        <v>300</v>
      </c>
      <c r="Q43" s="275"/>
      <c r="R43" s="275"/>
      <c r="S43" s="275"/>
    </row>
    <row r="44" spans="1:19" ht="17.25" customHeight="1" thickBot="1">
      <c r="A44" s="122" t="s">
        <v>236</v>
      </c>
      <c r="B44" s="123">
        <v>99.4</v>
      </c>
      <c r="C44" s="72">
        <v>0.61363636359999996</v>
      </c>
      <c r="D44" s="123">
        <v>92.6</v>
      </c>
      <c r="E44" s="72">
        <f>IF(ISNUMBER(D44), (D44 - $B44) / $B44, "")</f>
        <v>-6.8410462776660075E-2</v>
      </c>
      <c r="F44" s="140">
        <f>IF(ISNUMBER(D44), $B64 * E44, "")</f>
        <v>-10261.569416499011</v>
      </c>
      <c r="G44" s="38">
        <v>91.3</v>
      </c>
      <c r="H44" s="72">
        <f>IF(ISNUMBER(G44), (G44 - $B44) / $B44, "")</f>
        <v>-8.1488933601609734E-2</v>
      </c>
      <c r="I44" s="201">
        <f>IF(ISNUMBER(G44), $B64 * H44, "")</f>
        <v>-12223.340040241461</v>
      </c>
      <c r="J44" s="123">
        <v>90.7</v>
      </c>
      <c r="K44" s="72">
        <f>IF(ISNUMBER(J44), (J44 - $B44) / $B44, "")</f>
        <v>-8.7525150905432614E-2</v>
      </c>
      <c r="L44" s="140">
        <f>IF(ISNUMBER(J44), $B64 * K44, "")</f>
        <v>-13128.772635814892</v>
      </c>
      <c r="M44" s="38">
        <v>83.6</v>
      </c>
      <c r="N44" s="72">
        <f>IF(ISNUMBER(M44), (M44 - $B44) / $B44, "")</f>
        <v>-0.15895372233400412</v>
      </c>
      <c r="O44" s="140">
        <f>IF(ISNUMBER(M44), $B64 * N44, "")</f>
        <v>-23843.058350100619</v>
      </c>
      <c r="Q44" s="270"/>
      <c r="R44" s="270"/>
      <c r="S44" s="270"/>
    </row>
    <row r="45" spans="1:19" ht="17.25" customHeight="1" thickBot="1">
      <c r="A45" s="124" t="s">
        <v>214</v>
      </c>
      <c r="B45" s="125">
        <v>22.1</v>
      </c>
      <c r="C45" s="73">
        <v>0.15706806279999999</v>
      </c>
      <c r="D45" s="125">
        <v>22.2</v>
      </c>
      <c r="E45" s="73">
        <f t="shared" ref="E45:E48" si="14">IF(ISNUMBER(D45), (D45 - $B45) / $B45, "")</f>
        <v>4.5248868778279576E-3</v>
      </c>
      <c r="F45" s="136">
        <f>IF(ISNUMBER(D45), $B64 * E45, "")</f>
        <v>678.73303167419363</v>
      </c>
      <c r="G45" s="39">
        <v>23.3</v>
      </c>
      <c r="H45" s="73">
        <f t="shared" ref="H45:H48" si="15">IF(ISNUMBER(G45), (G45 - $B45) / $B45, "")</f>
        <v>5.4298642533936618E-2</v>
      </c>
      <c r="I45" s="202">
        <f>IF(ISNUMBER(G45), $B64 * H45, "")</f>
        <v>8144.7963800904927</v>
      </c>
      <c r="J45" s="125">
        <v>25.9</v>
      </c>
      <c r="K45" s="73">
        <f t="shared" ref="K45:K48" si="16">IF(ISNUMBER(J45), (J45 - $B45) / $B45, "")</f>
        <v>0.17194570135746592</v>
      </c>
      <c r="L45" s="136">
        <f>IF(ISNUMBER(J45), $B64 * K45, "")</f>
        <v>25791.855203619889</v>
      </c>
      <c r="M45" s="39">
        <v>22.4</v>
      </c>
      <c r="N45" s="73">
        <f t="shared" ref="N45:N48" si="17">IF(ISNUMBER(M45), (M45 - $B45) / $B45, "")</f>
        <v>1.3574660633484033E-2</v>
      </c>
      <c r="O45" s="136">
        <f>IF(ISNUMBER(M45), $B64 * N45, "")</f>
        <v>2036.199095022605</v>
      </c>
      <c r="Q45" s="270"/>
      <c r="R45" s="270"/>
      <c r="S45" s="270"/>
    </row>
    <row r="46" spans="1:19" ht="17.25" customHeight="1" thickBot="1">
      <c r="A46" s="124" t="s">
        <v>254</v>
      </c>
      <c r="B46" s="125">
        <v>88.5</v>
      </c>
      <c r="C46" s="73">
        <v>0.1538461538</v>
      </c>
      <c r="D46" s="125">
        <v>84.5</v>
      </c>
      <c r="E46" s="73">
        <f t="shared" si="14"/>
        <v>-4.519774011299435E-2</v>
      </c>
      <c r="F46" s="136">
        <f>IF(ISNUMBER(D46), $B64 * E46, "")</f>
        <v>-6779.6610169491523</v>
      </c>
      <c r="G46" s="39">
        <v>85.2</v>
      </c>
      <c r="H46" s="73">
        <f t="shared" si="15"/>
        <v>-3.7288135593220306E-2</v>
      </c>
      <c r="I46" s="202">
        <f>IF(ISNUMBER(G46), $B64 * H46, "")</f>
        <v>-5593.2203389830456</v>
      </c>
      <c r="J46" s="125">
        <v>85.4</v>
      </c>
      <c r="K46" s="73">
        <f t="shared" si="16"/>
        <v>-3.502824858757056E-2</v>
      </c>
      <c r="L46" s="136">
        <f>IF(ISNUMBER(J46), $B64 * K46, "")</f>
        <v>-5254.2372881355841</v>
      </c>
      <c r="M46" s="39">
        <v>82.8</v>
      </c>
      <c r="N46" s="73">
        <f t="shared" si="17"/>
        <v>-6.4406779661016975E-2</v>
      </c>
      <c r="O46" s="136">
        <f>IF(ISNUMBER(M46), $B64 * N46, "")</f>
        <v>-9661.0169491525467</v>
      </c>
      <c r="Q46" s="275"/>
      <c r="R46" s="275"/>
      <c r="S46" s="275"/>
    </row>
    <row r="47" spans="1:19" ht="17.25" customHeight="1" thickBot="1">
      <c r="A47" s="124" t="s">
        <v>268</v>
      </c>
      <c r="B47" s="125">
        <v>89.4</v>
      </c>
      <c r="C47" s="73">
        <v>9.9630996299999997E-2</v>
      </c>
      <c r="D47" s="125">
        <v>89.1</v>
      </c>
      <c r="E47" s="73">
        <f t="shared" si="14"/>
        <v>-3.3557046979867042E-3</v>
      </c>
      <c r="F47" s="136">
        <f>IF(ISNUMBER(D47), $B64 * E47, "")</f>
        <v>-503.35570469800564</v>
      </c>
      <c r="G47" s="39">
        <v>90.5</v>
      </c>
      <c r="H47" s="73">
        <f t="shared" si="15"/>
        <v>1.2304250559284052E-2</v>
      </c>
      <c r="I47" s="202">
        <f>IF(ISNUMBER(G47), $B64 * H47, "")</f>
        <v>1845.6375838926078</v>
      </c>
      <c r="J47" s="125">
        <v>91.3</v>
      </c>
      <c r="K47" s="73">
        <f t="shared" si="16"/>
        <v>2.125279642058156E-2</v>
      </c>
      <c r="L47" s="136">
        <f>IF(ISNUMBER(J47), $B64 * K47, "")</f>
        <v>3187.9194630872339</v>
      </c>
      <c r="M47" s="39">
        <v>87.6</v>
      </c>
      <c r="N47" s="73">
        <f t="shared" si="17"/>
        <v>-2.013422818791959E-2</v>
      </c>
      <c r="O47" s="136">
        <f>IF(ISNUMBER(M47), $B64 * N47, "")</f>
        <v>-3020.1342281879383</v>
      </c>
      <c r="Q47" s="275"/>
      <c r="R47" s="275"/>
      <c r="S47" s="275"/>
    </row>
    <row r="48" spans="1:19" ht="17.25" customHeight="1" thickBot="1">
      <c r="A48" s="126" t="s">
        <v>126</v>
      </c>
      <c r="B48" s="127">
        <v>57.7</v>
      </c>
      <c r="C48" s="74">
        <v>9.4876660299999999E-2</v>
      </c>
      <c r="D48" s="127">
        <v>56.7</v>
      </c>
      <c r="E48" s="74">
        <f t="shared" si="14"/>
        <v>-1.7331022530329289E-2</v>
      </c>
      <c r="F48" s="203">
        <f>IF(ISNUMBER(D48), $B64 * E48, "")</f>
        <v>-2599.6533795493933</v>
      </c>
      <c r="G48" s="44">
        <v>56.3</v>
      </c>
      <c r="H48" s="74">
        <f t="shared" si="15"/>
        <v>-2.4263431542461102E-2</v>
      </c>
      <c r="I48" s="204">
        <f>IF(ISNUMBER(G48), $B64 * H48, "")</f>
        <v>-3639.5147313691655</v>
      </c>
      <c r="J48" s="127">
        <v>56.3</v>
      </c>
      <c r="K48" s="74">
        <f t="shared" si="16"/>
        <v>-2.4263431542461102E-2</v>
      </c>
      <c r="L48" s="203">
        <f>IF(ISNUMBER(J48), $B64 * K48, "")</f>
        <v>-3639.5147313691655</v>
      </c>
      <c r="M48" s="44">
        <v>54.6</v>
      </c>
      <c r="N48" s="74">
        <f t="shared" si="17"/>
        <v>-5.3726169844020816E-2</v>
      </c>
      <c r="O48" s="203">
        <f>IF(ISNUMBER(M48), $B64 * N48, "")</f>
        <v>-8058.9254766031227</v>
      </c>
      <c r="Q48" s="275"/>
      <c r="R48" s="275"/>
      <c r="S48" s="275"/>
    </row>
    <row r="49" spans="1:19" ht="17.25" customHeight="1" thickBot="1">
      <c r="A49" s="124" t="s">
        <v>172</v>
      </c>
      <c r="B49" s="128">
        <v>23.9</v>
      </c>
      <c r="C49" s="76">
        <v>7.6576576600000001E-2</v>
      </c>
      <c r="D49" s="128">
        <v>26.3</v>
      </c>
      <c r="E49" s="76">
        <f>IF(ISNUMBER(D49), (D49 - $B49) / $B49, "")</f>
        <v>0.1004184100418411</v>
      </c>
      <c r="F49" s="205">
        <f>IF(ISNUMBER(D49), $B64 * E49, "")</f>
        <v>15062.761506276165</v>
      </c>
      <c r="G49" s="45">
        <v>25.5</v>
      </c>
      <c r="H49" s="76">
        <f>IF(ISNUMBER(G49), (G49 - $B49) / $B49, "")</f>
        <v>6.6945606694560733E-2</v>
      </c>
      <c r="I49" s="206">
        <f>IF(ISNUMBER(G49), $B64 * H49, "")</f>
        <v>10041.841004184111</v>
      </c>
      <c r="J49" s="128">
        <v>25.8</v>
      </c>
      <c r="K49" s="76">
        <f>IF(ISNUMBER(J49), (J49 - $B49) / $B49, "")</f>
        <v>7.9497907949790891E-2</v>
      </c>
      <c r="L49" s="205">
        <f>IF(ISNUMBER(J49), $B64 * K49, "")</f>
        <v>11924.686192468635</v>
      </c>
      <c r="M49" s="45">
        <v>24.3</v>
      </c>
      <c r="N49" s="76">
        <f>IF(ISNUMBER(M49), (M49 - $B49) / $B49, "")</f>
        <v>1.6736401673640256E-2</v>
      </c>
      <c r="O49" s="205">
        <f>IF(ISNUMBER(M49), $B64 * N49, "")</f>
        <v>2510.4602510460386</v>
      </c>
      <c r="Q49" s="275"/>
      <c r="R49" s="275"/>
      <c r="S49" s="275"/>
    </row>
    <row r="50" spans="1:19" ht="17.25" customHeight="1" thickBot="1">
      <c r="A50" s="124" t="s">
        <v>218</v>
      </c>
      <c r="B50" s="125">
        <v>26.8</v>
      </c>
      <c r="C50" s="73">
        <v>7.1999999999999995E-2</v>
      </c>
      <c r="D50" s="125">
        <v>27.7</v>
      </c>
      <c r="E50" s="73">
        <f t="shared" ref="E50:E53" si="18">IF(ISNUMBER(D50), (D50 - $B50) / $B50, "")</f>
        <v>3.358208955223875E-2</v>
      </c>
      <c r="F50" s="136">
        <f>IF(ISNUMBER(D50), $B64 * E50, "")</f>
        <v>5037.3134328358128</v>
      </c>
      <c r="G50" s="39">
        <v>27.5</v>
      </c>
      <c r="H50" s="73">
        <f t="shared" ref="H50:H53" si="19">IF(ISNUMBER(G50), (G50 - $B50) / $B50, "")</f>
        <v>2.6119402985074598E-2</v>
      </c>
      <c r="I50" s="202">
        <f>IF(ISNUMBER(G50), $B64 * H50, "")</f>
        <v>3917.9104477611895</v>
      </c>
      <c r="J50" s="125">
        <v>27.8</v>
      </c>
      <c r="K50" s="73">
        <f t="shared" ref="K50:K53" si="20">IF(ISNUMBER(J50), (J50 - $B50) / $B50, "")</f>
        <v>3.7313432835820892E-2</v>
      </c>
      <c r="L50" s="136">
        <f>IF(ISNUMBER(J50), $B64 * K50, "")</f>
        <v>5597.0149253731342</v>
      </c>
      <c r="M50" s="39">
        <v>26.7</v>
      </c>
      <c r="N50" s="73">
        <f t="shared" ref="N50:N53" si="21">IF(ISNUMBER(M50), (M50 - $B50) / $B50, "")</f>
        <v>-3.7313432835821424E-3</v>
      </c>
      <c r="O50" s="136">
        <f>IF(ISNUMBER(M50), $B64 * N50, "")</f>
        <v>-559.70149253732131</v>
      </c>
      <c r="Q50" s="275"/>
      <c r="R50" s="275"/>
      <c r="S50" s="275"/>
    </row>
    <row r="51" spans="1:19" ht="17.25" customHeight="1" thickBot="1">
      <c r="A51" s="124" t="s">
        <v>222</v>
      </c>
      <c r="B51" s="125">
        <v>18.100000000000001</v>
      </c>
      <c r="C51" s="73">
        <v>6.4705882399999998E-2</v>
      </c>
      <c r="D51" s="125">
        <v>18.899999999999999</v>
      </c>
      <c r="E51" s="73">
        <f t="shared" si="18"/>
        <v>4.4198895027624148E-2</v>
      </c>
      <c r="F51" s="136">
        <f>IF(ISNUMBER(D51), $B64 * E51, "")</f>
        <v>6629.8342541436223</v>
      </c>
      <c r="G51" s="39">
        <v>18.600000000000001</v>
      </c>
      <c r="H51" s="73">
        <f t="shared" si="19"/>
        <v>2.7624309392265192E-2</v>
      </c>
      <c r="I51" s="202">
        <f>IF(ISNUMBER(G51), $B64 * H51, "")</f>
        <v>4143.6464088397788</v>
      </c>
      <c r="J51" s="125">
        <v>19</v>
      </c>
      <c r="K51" s="73">
        <f t="shared" si="20"/>
        <v>4.9723756906077263E-2</v>
      </c>
      <c r="L51" s="136">
        <f>IF(ISNUMBER(J51), $B64 * K51, "")</f>
        <v>7458.5635359115895</v>
      </c>
      <c r="M51" s="39">
        <v>18.100000000000001</v>
      </c>
      <c r="N51" s="73">
        <f t="shared" si="21"/>
        <v>0</v>
      </c>
      <c r="O51" s="136">
        <f>IF(ISNUMBER(M51), $B64 * N51, "")</f>
        <v>0</v>
      </c>
      <c r="Q51" s="275"/>
      <c r="R51" s="275"/>
      <c r="S51" s="275"/>
    </row>
    <row r="52" spans="1:19" ht="17.25" customHeight="1" thickBot="1">
      <c r="A52" s="124" t="s">
        <v>186</v>
      </c>
      <c r="B52" s="125">
        <v>23.8</v>
      </c>
      <c r="C52" s="73">
        <v>5.7777777799999999E-2</v>
      </c>
      <c r="D52" s="125">
        <v>24.8</v>
      </c>
      <c r="E52" s="73">
        <f t="shared" si="18"/>
        <v>4.2016806722689072E-2</v>
      </c>
      <c r="F52" s="136">
        <f>IF(ISNUMBER(D52), $B64 * E52, "")</f>
        <v>6302.5210084033606</v>
      </c>
      <c r="G52" s="39">
        <v>24.9</v>
      </c>
      <c r="H52" s="73">
        <f t="shared" si="19"/>
        <v>4.6218487394957895E-2</v>
      </c>
      <c r="I52" s="202">
        <f>IF(ISNUMBER(G52), $B64 * H52, "")</f>
        <v>6932.7731092436843</v>
      </c>
      <c r="J52" s="125">
        <v>25.1</v>
      </c>
      <c r="K52" s="73">
        <f t="shared" si="20"/>
        <v>5.4621848739495826E-2</v>
      </c>
      <c r="L52" s="136">
        <f>IF(ISNUMBER(J52), $B64 * K52, "")</f>
        <v>8193.2773109243735</v>
      </c>
      <c r="M52" s="39">
        <v>23.8</v>
      </c>
      <c r="N52" s="73">
        <f t="shared" si="21"/>
        <v>0</v>
      </c>
      <c r="O52" s="136">
        <f>IF(ISNUMBER(M52), $B64 * N52, "")</f>
        <v>0</v>
      </c>
      <c r="Q52" s="33"/>
      <c r="R52" s="33"/>
    </row>
    <row r="53" spans="1:19" ht="17.25" customHeight="1" thickBot="1">
      <c r="A53" s="129" t="s">
        <v>196</v>
      </c>
      <c r="B53" s="130">
        <v>19.3</v>
      </c>
      <c r="C53" s="75">
        <v>5.4644808699999999E-2</v>
      </c>
      <c r="D53" s="130">
        <v>20.100000000000001</v>
      </c>
      <c r="E53" s="75">
        <f t="shared" si="18"/>
        <v>4.1450777202072575E-2</v>
      </c>
      <c r="F53" s="137">
        <f>IF(ISNUMBER(D53), $B64 * E53, "")</f>
        <v>6217.6165803108861</v>
      </c>
      <c r="G53" s="37">
        <v>20.100000000000001</v>
      </c>
      <c r="H53" s="75">
        <f t="shared" si="19"/>
        <v>4.1450777202072575E-2</v>
      </c>
      <c r="I53" s="207">
        <f>IF(ISNUMBER(G53), $B64 * H53, "")</f>
        <v>6217.6165803108861</v>
      </c>
      <c r="J53" s="130">
        <v>20</v>
      </c>
      <c r="K53" s="75">
        <f t="shared" si="20"/>
        <v>3.6269430051813434E-2</v>
      </c>
      <c r="L53" s="137">
        <f>IF(ISNUMBER(J53), $B64 * K53, "")</f>
        <v>5440.414507772015</v>
      </c>
      <c r="M53" s="37">
        <v>19.399999999999999</v>
      </c>
      <c r="N53" s="75">
        <f t="shared" si="21"/>
        <v>5.1813471502589565E-3</v>
      </c>
      <c r="O53" s="137">
        <f>IF(ISNUMBER(M53), $B64 * N53, "")</f>
        <v>777.20207253884348</v>
      </c>
      <c r="Q53" s="284"/>
      <c r="R53" s="285"/>
      <c r="S53" s="286"/>
    </row>
    <row r="54" spans="1:19" ht="17.25" customHeight="1">
      <c r="A54" s="122" t="s">
        <v>228</v>
      </c>
      <c r="B54" s="123">
        <v>18</v>
      </c>
      <c r="C54" s="72">
        <v>5.2631578900000003E-2</v>
      </c>
      <c r="D54" s="123">
        <v>18.3</v>
      </c>
      <c r="E54" s="72">
        <f>IF(ISNUMBER(D54), (D54 - $B54) / $B54, "")</f>
        <v>1.6666666666666705E-2</v>
      </c>
      <c r="F54" s="140">
        <f>IF(ISNUMBER(D54), $B64 * E54, "")</f>
        <v>2500.0000000000059</v>
      </c>
      <c r="G54" s="38">
        <v>18.399999999999999</v>
      </c>
      <c r="H54" s="72">
        <f>IF(ISNUMBER(G54), (G54 - $B54) / $B54, "")</f>
        <v>2.2222222222222143E-2</v>
      </c>
      <c r="I54" s="201">
        <f>IF(ISNUMBER(G54), $B64 * H54, "")</f>
        <v>3333.3333333333217</v>
      </c>
      <c r="J54" s="123">
        <v>18.600000000000001</v>
      </c>
      <c r="K54" s="72">
        <f>IF(ISNUMBER(J54), (J54 - $B54) / $B54, "")</f>
        <v>3.3333333333333409E-2</v>
      </c>
      <c r="L54" s="140">
        <f>IF(ISNUMBER(J54), $B64 * K54, "")</f>
        <v>5000.0000000000118</v>
      </c>
      <c r="M54" s="38">
        <v>18.100000000000001</v>
      </c>
      <c r="N54" s="72">
        <f>IF(ISNUMBER(M54), (M54 - $B54) / $B54, "")</f>
        <v>5.5555555555556347E-3</v>
      </c>
      <c r="O54" s="140">
        <f>IF(ISNUMBER(M54), $B64 * N54, "")</f>
        <v>833.33333333334519</v>
      </c>
      <c r="Q54" s="287"/>
      <c r="R54" s="288"/>
      <c r="S54" s="289"/>
    </row>
    <row r="55" spans="1:19" ht="17.25" customHeight="1" thickBot="1">
      <c r="A55" s="124" t="s">
        <v>198</v>
      </c>
      <c r="B55" s="125">
        <v>26.3</v>
      </c>
      <c r="C55" s="73">
        <v>5.1999999999999998E-2</v>
      </c>
      <c r="D55" s="125">
        <v>28.8</v>
      </c>
      <c r="E55" s="73">
        <f t="shared" ref="E55:E58" si="22">IF(ISNUMBER(D55), (D55 - $B55) / $B55, "")</f>
        <v>9.5057034220532313E-2</v>
      </c>
      <c r="F55" s="136">
        <f>IF(ISNUMBER(D55), $B64 * E55, "")</f>
        <v>14258.555133079846</v>
      </c>
      <c r="G55" s="39">
        <v>27.9</v>
      </c>
      <c r="H55" s="73">
        <f t="shared" ref="H55:H58" si="23">IF(ISNUMBER(G55), (G55 - $B55) / $B55, "")</f>
        <v>6.0836501901140601E-2</v>
      </c>
      <c r="I55" s="202">
        <f>IF(ISNUMBER(G55), $B64 * H55, "")</f>
        <v>9125.4752851710909</v>
      </c>
      <c r="J55" s="125">
        <v>27.8</v>
      </c>
      <c r="K55" s="73">
        <f t="shared" ref="K55:K58" si="24">IF(ISNUMBER(J55), (J55 - $B55) / $B55, "")</f>
        <v>5.7034220532319393E-2</v>
      </c>
      <c r="L55" s="136">
        <f>IF(ISNUMBER(J55), $B64 * K55, "")</f>
        <v>8555.1330798479084</v>
      </c>
      <c r="M55" s="39">
        <v>28</v>
      </c>
      <c r="N55" s="73">
        <f t="shared" ref="N55:N58" si="25">IF(ISNUMBER(M55), (M55 - $B55) / $B55, "")</f>
        <v>6.4638783269961947E-2</v>
      </c>
      <c r="O55" s="136">
        <f>IF(ISNUMBER(M55), $B64 * N55, "")</f>
        <v>9695.8174904942916</v>
      </c>
      <c r="Q55" s="290"/>
      <c r="R55" s="291"/>
      <c r="S55" s="292"/>
    </row>
    <row r="56" spans="1:19" ht="17.25" customHeight="1" thickBot="1">
      <c r="A56" s="124" t="s">
        <v>154</v>
      </c>
      <c r="B56" s="125">
        <v>20</v>
      </c>
      <c r="C56" s="73">
        <v>4.16666667E-2</v>
      </c>
      <c r="D56" s="125">
        <v>21</v>
      </c>
      <c r="E56" s="73">
        <f t="shared" si="22"/>
        <v>0.05</v>
      </c>
      <c r="F56" s="136">
        <f>IF(ISNUMBER(D56), $B64 * E56, "")</f>
        <v>7500</v>
      </c>
      <c r="G56" s="39">
        <v>20.5</v>
      </c>
      <c r="H56" s="73">
        <f t="shared" si="23"/>
        <v>2.5000000000000001E-2</v>
      </c>
      <c r="I56" s="202">
        <f>IF(ISNUMBER(G56), $B64 * H56, "")</f>
        <v>3750</v>
      </c>
      <c r="J56" s="125">
        <v>21</v>
      </c>
      <c r="K56" s="73">
        <f t="shared" si="24"/>
        <v>0.05</v>
      </c>
      <c r="L56" s="136">
        <f>IF(ISNUMBER(J56), $B64 * K56, "")</f>
        <v>7500</v>
      </c>
      <c r="M56" s="39">
        <v>20.100000000000001</v>
      </c>
      <c r="N56" s="73">
        <f t="shared" si="25"/>
        <v>5.0000000000000712E-3</v>
      </c>
      <c r="O56" s="136">
        <f>IF(ISNUMBER(M56), $B64 * N56, "")</f>
        <v>750.00000000001069</v>
      </c>
      <c r="Q56" s="275"/>
      <c r="R56" s="275"/>
      <c r="S56" s="275"/>
    </row>
    <row r="57" spans="1:19" ht="17.25" customHeight="1" thickBot="1">
      <c r="A57" s="124" t="s">
        <v>266</v>
      </c>
      <c r="B57" s="125">
        <v>92.3</v>
      </c>
      <c r="C57" s="73">
        <v>2.89855072E-2</v>
      </c>
      <c r="D57" s="125">
        <v>94.1</v>
      </c>
      <c r="E57" s="73">
        <f t="shared" si="22"/>
        <v>1.950162513542792E-2</v>
      </c>
      <c r="F57" s="136">
        <f>IF(ISNUMBER(D57), $B64 * E57, "")</f>
        <v>2925.2437703141882</v>
      </c>
      <c r="G57" s="39">
        <v>94.2</v>
      </c>
      <c r="H57" s="73">
        <f t="shared" si="23"/>
        <v>2.0585048754062901E-2</v>
      </c>
      <c r="I57" s="202">
        <f>IF(ISNUMBER(G57), $B64 * H57, "")</f>
        <v>3087.757313109435</v>
      </c>
      <c r="J57" s="125">
        <v>95.1</v>
      </c>
      <c r="K57" s="73">
        <f t="shared" si="24"/>
        <v>3.0335861321776784E-2</v>
      </c>
      <c r="L57" s="136">
        <f>IF(ISNUMBER(J57), $B64 * K57, "")</f>
        <v>4550.379198266518</v>
      </c>
      <c r="M57" s="39">
        <v>90.1</v>
      </c>
      <c r="N57" s="73">
        <f t="shared" si="25"/>
        <v>-2.3835319609967529E-2</v>
      </c>
      <c r="O57" s="136">
        <f>IF(ISNUMBER(M57), $B64 * N57, "")</f>
        <v>-3575.2979414951292</v>
      </c>
      <c r="Q57" s="270"/>
      <c r="R57" s="270"/>
      <c r="S57" s="270"/>
    </row>
    <row r="58" spans="1:19" ht="17.25" customHeight="1" thickBot="1">
      <c r="A58" s="126" t="s">
        <v>220</v>
      </c>
      <c r="B58" s="127">
        <v>18.899999999999999</v>
      </c>
      <c r="C58" s="74">
        <v>2.7173913000000001E-2</v>
      </c>
      <c r="D58" s="127">
        <v>19.600000000000001</v>
      </c>
      <c r="E58" s="74">
        <f t="shared" si="22"/>
        <v>3.7037037037037188E-2</v>
      </c>
      <c r="F58" s="203">
        <f>IF(ISNUMBER(D58), $B64 * E58, "")</f>
        <v>5555.5555555555784</v>
      </c>
      <c r="G58" s="44">
        <v>19.399999999999999</v>
      </c>
      <c r="H58" s="74">
        <f t="shared" si="23"/>
        <v>2.6455026455026457E-2</v>
      </c>
      <c r="I58" s="204">
        <f>IF(ISNUMBER(G58), $B64 * H58, "")</f>
        <v>3968.2539682539687</v>
      </c>
      <c r="J58" s="127">
        <v>19.7</v>
      </c>
      <c r="K58" s="74">
        <f t="shared" si="24"/>
        <v>4.2328042328042367E-2</v>
      </c>
      <c r="L58" s="203">
        <f>IF(ISNUMBER(J58), $B64 * K58, "")</f>
        <v>6349.2063492063553</v>
      </c>
      <c r="M58" s="44">
        <v>18.5</v>
      </c>
      <c r="N58" s="74">
        <f t="shared" si="25"/>
        <v>-2.116402116402109E-2</v>
      </c>
      <c r="O58" s="203">
        <f>IF(ISNUMBER(M58), $B64 * N58, "")</f>
        <v>-3174.6031746031636</v>
      </c>
      <c r="Q58" s="270"/>
      <c r="R58" s="270"/>
      <c r="S58" s="270"/>
    </row>
    <row r="59" spans="1:19" ht="17.25" customHeight="1" thickBot="1">
      <c r="A59" s="124" t="s">
        <v>152</v>
      </c>
      <c r="B59" s="128">
        <v>44.9</v>
      </c>
      <c r="C59" s="76">
        <v>2.51141553E-2</v>
      </c>
      <c r="D59" s="128">
        <v>46</v>
      </c>
      <c r="E59" s="76">
        <f>IF(ISNUMBER(D59), (D59 - $B59) / $B59, "")</f>
        <v>2.4498886414253931E-2</v>
      </c>
      <c r="F59" s="205">
        <f>IF(ISNUMBER(D59), $B64 * E59, "")</f>
        <v>3674.8329621380894</v>
      </c>
      <c r="G59" s="45">
        <v>45</v>
      </c>
      <c r="H59" s="76">
        <f>IF(ISNUMBER(G59), (G59 - $B59) / $B59, "")</f>
        <v>2.2271714922049313E-3</v>
      </c>
      <c r="I59" s="206">
        <f>IF(ISNUMBER(G59), $B64 * H59, "")</f>
        <v>334.07572383073972</v>
      </c>
      <c r="J59" s="128">
        <v>45.1</v>
      </c>
      <c r="K59" s="76">
        <f>IF(ISNUMBER(J59), (J59 - $B59) / $B59, "")</f>
        <v>4.4543429844098627E-3</v>
      </c>
      <c r="L59" s="205">
        <f>IF(ISNUMBER(J59), $B64 * K59, "")</f>
        <v>668.15144766147944</v>
      </c>
      <c r="M59" s="45">
        <v>44.1</v>
      </c>
      <c r="N59" s="76">
        <f>IF(ISNUMBER(M59), (M59 - $B59) / $B59, "")</f>
        <v>-1.7817371937639135E-2</v>
      </c>
      <c r="O59" s="205">
        <f>IF(ISNUMBER(M59), $B64 * N59, "")</f>
        <v>-2672.6057906458705</v>
      </c>
      <c r="Q59" s="275"/>
      <c r="R59" s="275"/>
      <c r="S59" s="275"/>
    </row>
    <row r="60" spans="1:19" ht="17.25" customHeight="1" thickBot="1">
      <c r="A60" s="124" t="s">
        <v>100</v>
      </c>
      <c r="B60" s="125">
        <v>8.2899999999999991</v>
      </c>
      <c r="C60" s="73">
        <v>1.8427518399999999E-2</v>
      </c>
      <c r="D60" s="125">
        <v>8.39</v>
      </c>
      <c r="E60" s="73">
        <f t="shared" ref="E60:E63" si="26">IF(ISNUMBER(D60), (D60 - $B60) / $B60, "")</f>
        <v>1.2062726176115975E-2</v>
      </c>
      <c r="F60" s="136">
        <f>IF(ISNUMBER(D60), $B64 * E60, "")</f>
        <v>1809.4089264173963</v>
      </c>
      <c r="G60" s="39">
        <v>8.25</v>
      </c>
      <c r="H60" s="73">
        <f t="shared" ref="H60:H63" si="27">IF(ISNUMBER(G60), (G60 - $B60) / $B60, "")</f>
        <v>-4.8250904704462182E-3</v>
      </c>
      <c r="I60" s="202">
        <f>IF(ISNUMBER(G60), $B64 * H60, "")</f>
        <v>-723.76357056693269</v>
      </c>
      <c r="J60" s="125">
        <v>8.24</v>
      </c>
      <c r="K60" s="73">
        <f t="shared" ref="K60:K63" si="28">IF(ISNUMBER(J60), (J60 - $B60) / $B60, "")</f>
        <v>-6.0313630880577734E-3</v>
      </c>
      <c r="L60" s="136">
        <f>IF(ISNUMBER(J60), $B64 * K60, "")</f>
        <v>-904.70446320866597</v>
      </c>
      <c r="M60" s="39">
        <v>8.1199999999999992</v>
      </c>
      <c r="N60" s="73">
        <f t="shared" ref="N60:N63" si="29">IF(ISNUMBER(M60), (M60 - $B60) / $B60, "")</f>
        <v>-2.0506634499396856E-2</v>
      </c>
      <c r="O60" s="136">
        <f>IF(ISNUMBER(M60), $B64 * N60, "")</f>
        <v>-3075.9951749095285</v>
      </c>
      <c r="Q60" s="275"/>
      <c r="R60" s="275"/>
      <c r="S60" s="275"/>
    </row>
    <row r="61" spans="1:19" ht="17.25" customHeight="1" thickBot="1">
      <c r="A61" s="124" t="s">
        <v>65</v>
      </c>
      <c r="B61" s="125">
        <v>71.3</v>
      </c>
      <c r="C61" s="73">
        <v>1.5669515700000001E-2</v>
      </c>
      <c r="D61" s="125">
        <v>72.3</v>
      </c>
      <c r="E61" s="73">
        <f t="shared" si="26"/>
        <v>1.4025245441795233E-2</v>
      </c>
      <c r="F61" s="136">
        <f>IF(ISNUMBER(D61), $B64 * E61, "")</f>
        <v>2103.7868162692848</v>
      </c>
      <c r="G61" s="39">
        <v>70.5</v>
      </c>
      <c r="H61" s="73">
        <f t="shared" si="27"/>
        <v>-1.1220196353436145E-2</v>
      </c>
      <c r="I61" s="202">
        <f>IF(ISNUMBER(G61), $B64 * H61, "")</f>
        <v>-1683.0294530154217</v>
      </c>
      <c r="J61" s="125">
        <v>70.8</v>
      </c>
      <c r="K61" s="73">
        <f t="shared" si="28"/>
        <v>-7.0126227208976164E-3</v>
      </c>
      <c r="L61" s="136">
        <f>IF(ISNUMBER(J61), $B64 * K61, "")</f>
        <v>-1051.8934081346424</v>
      </c>
      <c r="M61" s="39">
        <v>69.8</v>
      </c>
      <c r="N61" s="73">
        <f t="shared" si="29"/>
        <v>-2.1037868162692847E-2</v>
      </c>
      <c r="O61" s="136">
        <f>IF(ISNUMBER(M61), $B64 * N61, "")</f>
        <v>-3155.6802244039268</v>
      </c>
      <c r="Q61" s="275"/>
      <c r="R61" s="275"/>
      <c r="S61" s="275"/>
    </row>
    <row r="62" spans="1:19" ht="17.25" customHeight="1">
      <c r="A62" s="124" t="s">
        <v>72</v>
      </c>
      <c r="B62" s="125">
        <v>35.9</v>
      </c>
      <c r="C62" s="73">
        <v>1.41242938E-2</v>
      </c>
      <c r="D62" s="125">
        <v>37.1</v>
      </c>
      <c r="E62" s="73">
        <f t="shared" si="26"/>
        <v>3.342618384401122E-2</v>
      </c>
      <c r="F62" s="136">
        <f>IF(ISNUMBER(D62), $B64 * E62, "")</f>
        <v>5013.9275766016826</v>
      </c>
      <c r="G62" s="39">
        <v>36.9</v>
      </c>
      <c r="H62" s="73">
        <f t="shared" si="27"/>
        <v>2.7855153203342621E-2</v>
      </c>
      <c r="I62" s="202">
        <f>IF(ISNUMBER(G62), $B64 * H62, "")</f>
        <v>4178.2729805013932</v>
      </c>
      <c r="J62" s="125">
        <v>36.700000000000003</v>
      </c>
      <c r="K62" s="73">
        <f t="shared" si="28"/>
        <v>2.2284122562674213E-2</v>
      </c>
      <c r="L62" s="136">
        <f>IF(ISNUMBER(J62), $B64 * K62, "")</f>
        <v>3342.6183844011321</v>
      </c>
      <c r="M62" s="39">
        <v>36.4</v>
      </c>
      <c r="N62" s="73">
        <f t="shared" si="29"/>
        <v>1.3927576601671311E-2</v>
      </c>
      <c r="O62" s="136">
        <f>IF(ISNUMBER(M62), $B64 * N62, "")</f>
        <v>2089.1364902506966</v>
      </c>
      <c r="Q62" s="297"/>
      <c r="R62" s="298"/>
      <c r="S62" s="299"/>
    </row>
    <row r="63" spans="1:19" ht="17.25" customHeight="1" thickBot="1">
      <c r="A63" s="129"/>
      <c r="B63" s="130"/>
      <c r="C63" s="75"/>
      <c r="D63" s="130" t="s">
        <v>297</v>
      </c>
      <c r="E63" s="75" t="str">
        <f t="shared" si="26"/>
        <v/>
      </c>
      <c r="F63" s="137" t="str">
        <f>IF(ISNUMBER(D63), $B64 * E63, "")</f>
        <v/>
      </c>
      <c r="G63" s="37" t="s">
        <v>297</v>
      </c>
      <c r="H63" s="75" t="str">
        <f t="shared" si="27"/>
        <v/>
      </c>
      <c r="I63" s="207" t="str">
        <f>IF(ISNUMBER(G63), $B64 * H63, "")</f>
        <v/>
      </c>
      <c r="J63" s="130" t="s">
        <v>297</v>
      </c>
      <c r="K63" s="75" t="str">
        <f t="shared" si="28"/>
        <v/>
      </c>
      <c r="L63" s="137" t="str">
        <f>IF(ISNUMBER(J63), $B64 * K63, "")</f>
        <v/>
      </c>
      <c r="M63" s="37" t="s">
        <v>297</v>
      </c>
      <c r="N63" s="75" t="str">
        <f t="shared" si="29"/>
        <v/>
      </c>
      <c r="O63" s="137" t="str">
        <f>IF(ISNUMBER(M63), $B64 * N63, "")</f>
        <v/>
      </c>
      <c r="Q63" s="300"/>
      <c r="R63" s="301"/>
      <c r="S63" s="302"/>
    </row>
    <row r="64" spans="1:19" ht="17.25" customHeight="1" thickBot="1">
      <c r="A64" s="131" t="s">
        <v>301</v>
      </c>
      <c r="B64" s="308">
        <f>$B$37</f>
        <v>150000</v>
      </c>
      <c r="C64" s="309"/>
      <c r="D64" s="131" t="s">
        <v>302</v>
      </c>
      <c r="E64" s="215">
        <f>IF(COUNT(E44:E63), SUM(E44:E63) / COUNT(E44:E63), 0)</f>
        <v>2.285117580221914E-2</v>
      </c>
      <c r="F64" s="208">
        <f>SUM(F44:F63)</f>
        <v>65125.851036324551</v>
      </c>
      <c r="G64" s="131" t="s">
        <v>302</v>
      </c>
      <c r="H64" s="215">
        <f>IF(COUNT(H44:H63), SUM(H44:H63) / COUNT(H44:H63), 0)</f>
        <v>1.5845095433104094E-2</v>
      </c>
      <c r="I64" s="208">
        <f>SUM(I44:I63)</f>
        <v>45158.521984346677</v>
      </c>
      <c r="J64" s="131" t="s">
        <v>302</v>
      </c>
      <c r="K64" s="215">
        <f>IF(COUNT(K44:K63), SUM(K44:K63) / COUNT(K44:K63), 0)</f>
        <v>2.7922841077851691E-2</v>
      </c>
      <c r="L64" s="208">
        <f>SUM(L44:L63)</f>
        <v>79580.097071877331</v>
      </c>
      <c r="M64" s="131" t="s">
        <v>302</v>
      </c>
      <c r="N64" s="215">
        <f>IF(COUNT(N44:N63), SUM(N44:N63) / COUNT(N44:N63), 0)</f>
        <v>-1.4773638621036252E-2</v>
      </c>
      <c r="O64" s="208">
        <f>SUM(O44:O63)</f>
        <v>-42104.870069953344</v>
      </c>
      <c r="Q64" s="303"/>
      <c r="R64" s="304"/>
      <c r="S64" s="305"/>
    </row>
    <row r="65" spans="1:19" ht="17.25" customHeight="1"/>
    <row r="66" spans="1:19" ht="17.25" customHeight="1" thickBot="1"/>
    <row r="67" spans="1:19" ht="17.25" thickBot="1">
      <c r="A67" s="249" t="s">
        <v>45</v>
      </c>
      <c r="B67" s="250"/>
      <c r="C67" s="250"/>
      <c r="D67" s="250"/>
      <c r="E67" s="250"/>
      <c r="F67" s="250"/>
      <c r="G67" s="250"/>
      <c r="H67" s="250"/>
      <c r="I67" s="250"/>
      <c r="J67" s="250"/>
      <c r="K67" s="250"/>
      <c r="L67" s="250"/>
      <c r="M67" s="250"/>
      <c r="N67" s="250"/>
      <c r="O67" s="251"/>
      <c r="Q67" s="270"/>
      <c r="R67" s="270"/>
      <c r="S67" s="270"/>
    </row>
    <row r="68" spans="1:19" ht="17.25" thickBot="1">
      <c r="A68" s="209" t="s">
        <v>298</v>
      </c>
      <c r="B68" s="249" t="s">
        <v>49</v>
      </c>
      <c r="C68" s="251"/>
      <c r="D68" s="249" t="s">
        <v>58</v>
      </c>
      <c r="E68" s="250"/>
      <c r="F68" s="251"/>
      <c r="G68" s="276">
        <f>_xlfn.IFNA(VLOOKUP(B68, 현재가테이블!$B$2:$D$200, 2, FALSE), "-")</f>
        <v>60874000</v>
      </c>
      <c r="H68" s="277"/>
      <c r="I68" s="278"/>
      <c r="J68" s="249" t="s">
        <v>59</v>
      </c>
      <c r="K68" s="250"/>
      <c r="L68" s="251"/>
      <c r="M68" s="279">
        <f>_xlfn.IFNA(VLOOKUP(B68, 현재가테이블!$B$2:$D$200, 3, FALSE), "-")</f>
        <v>-1.4936000099999999E-2</v>
      </c>
      <c r="N68" s="280"/>
      <c r="O68" s="281"/>
      <c r="Q68" s="270"/>
      <c r="R68" s="270"/>
      <c r="S68" s="270"/>
    </row>
    <row r="69" spans="1:19" ht="17.25" thickBot="1">
      <c r="A69" s="310" t="s">
        <v>55</v>
      </c>
      <c r="B69" s="312" t="str">
        <f>TEXT($G$1, "[$-ko-KR]yyyy-mm-dd(ddd) ") &amp; "오전 00:00"</f>
        <v>2021-05-12(수) 오전 00:00</v>
      </c>
      <c r="C69" s="313"/>
      <c r="D69" s="249" t="str">
        <f>TEXT($G$1, "[$-ko-KR]yyyy-mm-dd(ddd) ") &amp; "오후 14:00"</f>
        <v>2021-05-12(수) 오후 14:00</v>
      </c>
      <c r="E69" s="250"/>
      <c r="F69" s="251"/>
      <c r="G69" s="249" t="str">
        <f>TEXT($G$1, "[$-ko-KR]yyyy-mm-dd(ddd) ") &amp; "오후 19:00"</f>
        <v>2021-05-12(수) 오후 19:00</v>
      </c>
      <c r="H69" s="250"/>
      <c r="I69" s="251"/>
      <c r="J69" s="249" t="str">
        <f>TEXT($G$1, "[$-ko-KR]yyyy-mm-dd(ddd) ") &amp; "오후 21:00"</f>
        <v>2021-05-12(수) 오후 21:00</v>
      </c>
      <c r="K69" s="250"/>
      <c r="L69" s="251"/>
      <c r="M69" s="249" t="str">
        <f>TEXT($G$1+1, "[$-ko-KR]yyyy-mm-dd(ddd) ") &amp; "오전 00:00"</f>
        <v>2021-05-13(목) 오전 00:00</v>
      </c>
      <c r="N69" s="250"/>
      <c r="O69" s="251"/>
      <c r="Q69" s="270"/>
      <c r="R69" s="270"/>
      <c r="S69" s="270"/>
    </row>
    <row r="70" spans="1:19" ht="17.25" thickBot="1">
      <c r="A70" s="311"/>
      <c r="B70" s="120" t="s">
        <v>58</v>
      </c>
      <c r="C70" s="121" t="s">
        <v>59</v>
      </c>
      <c r="D70" s="120" t="s">
        <v>58</v>
      </c>
      <c r="E70" s="121" t="s">
        <v>299</v>
      </c>
      <c r="F70" s="216" t="s">
        <v>300</v>
      </c>
      <c r="G70" s="209" t="s">
        <v>58</v>
      </c>
      <c r="H70" s="210" t="s">
        <v>299</v>
      </c>
      <c r="I70" s="211" t="s">
        <v>300</v>
      </c>
      <c r="J70" s="121" t="s">
        <v>58</v>
      </c>
      <c r="K70" s="121" t="s">
        <v>299</v>
      </c>
      <c r="L70" s="213" t="s">
        <v>300</v>
      </c>
      <c r="M70" s="120" t="s">
        <v>58</v>
      </c>
      <c r="N70" s="121" t="s">
        <v>299</v>
      </c>
      <c r="O70" s="214" t="s">
        <v>300</v>
      </c>
      <c r="Q70" s="275"/>
      <c r="R70" s="275"/>
      <c r="S70" s="275"/>
    </row>
    <row r="71" spans="1:19" ht="17.25" thickBot="1">
      <c r="A71" s="122" t="s">
        <v>230</v>
      </c>
      <c r="B71" s="123">
        <v>164</v>
      </c>
      <c r="C71" s="72">
        <v>7.8947368399999995E-2</v>
      </c>
      <c r="D71" s="123">
        <v>169</v>
      </c>
      <c r="E71" s="72">
        <f>IF(ISNUMBER(D71), (D71 - $B71) / $B71, "")</f>
        <v>3.048780487804878E-2</v>
      </c>
      <c r="F71" s="140">
        <f>IF(ISNUMBER(D71), $B91 * E71, "")</f>
        <v>4573.1707317073169</v>
      </c>
      <c r="G71" s="38">
        <v>170</v>
      </c>
      <c r="H71" s="72">
        <f>IF(ISNUMBER(G71), (G71 - $B71) / $B71, "")</f>
        <v>3.6585365853658534E-2</v>
      </c>
      <c r="I71" s="201">
        <f>IF(ISNUMBER(G71), $B91 * H71, "")</f>
        <v>5487.8048780487798</v>
      </c>
      <c r="J71" s="123">
        <v>171</v>
      </c>
      <c r="K71" s="72">
        <f>IF(ISNUMBER(J71), (J71 - $B71) / $B71, "")</f>
        <v>4.2682926829268296E-2</v>
      </c>
      <c r="L71" s="140">
        <f>IF(ISNUMBER(J71), $B91 * K71, "")</f>
        <v>6402.4390243902444</v>
      </c>
      <c r="M71" s="38">
        <v>168</v>
      </c>
      <c r="N71" s="72">
        <f>IF(ISNUMBER(M71), (M71 - $B71) / $B71, "")</f>
        <v>2.4390243902439025E-2</v>
      </c>
      <c r="O71" s="140">
        <f>IF(ISNUMBER(M71), $B91 * N71, "")</f>
        <v>3658.5365853658536</v>
      </c>
      <c r="Q71" s="270"/>
      <c r="R71" s="270"/>
      <c r="S71" s="270"/>
    </row>
    <row r="72" spans="1:19" ht="17.25" thickBot="1">
      <c r="A72" s="124" t="s">
        <v>296</v>
      </c>
      <c r="B72" s="125">
        <v>616</v>
      </c>
      <c r="C72" s="73">
        <v>7.1304347800000001E-2</v>
      </c>
      <c r="D72" s="125">
        <v>602</v>
      </c>
      <c r="E72" s="73">
        <f t="shared" ref="E72:E75" si="30">IF(ISNUMBER(D72), (D72 - $B72) / $B72, "")</f>
        <v>-2.2727272727272728E-2</v>
      </c>
      <c r="F72" s="136">
        <f>IF(ISNUMBER(D72), $B91 * E72, "")</f>
        <v>-3409.090909090909</v>
      </c>
      <c r="G72" s="39">
        <v>606</v>
      </c>
      <c r="H72" s="73">
        <f t="shared" ref="H72:H75" si="31">IF(ISNUMBER(G72), (G72 - $B72) / $B72, "")</f>
        <v>-1.6233766233766232E-2</v>
      </c>
      <c r="I72" s="202">
        <f>IF(ISNUMBER(G72), $B91 * H72, "")</f>
        <v>-2435.0649350649346</v>
      </c>
      <c r="J72" s="125">
        <v>609</v>
      </c>
      <c r="K72" s="73">
        <f t="shared" ref="K72:K75" si="32">IF(ISNUMBER(J72), (J72 - $B72) / $B72, "")</f>
        <v>-1.1363636363636364E-2</v>
      </c>
      <c r="L72" s="136">
        <f>IF(ISNUMBER(J72), $B91 * K72, "")</f>
        <v>-1704.5454545454545</v>
      </c>
      <c r="M72" s="39">
        <v>588</v>
      </c>
      <c r="N72" s="73">
        <f t="shared" ref="N72:N75" si="33">IF(ISNUMBER(M72), (M72 - $B72) / $B72, "")</f>
        <v>-4.5454545454545456E-2</v>
      </c>
      <c r="O72" s="136">
        <f>IF(ISNUMBER(M72), $B91 * N72, "")</f>
        <v>-6818.181818181818</v>
      </c>
      <c r="Q72" s="270"/>
      <c r="R72" s="270"/>
      <c r="S72" s="270"/>
    </row>
    <row r="73" spans="1:19" ht="17.25" thickBot="1">
      <c r="A73" s="124" t="s">
        <v>112</v>
      </c>
      <c r="B73" s="125">
        <v>252</v>
      </c>
      <c r="C73" s="73">
        <v>6.3291139199999999E-2</v>
      </c>
      <c r="D73" s="125">
        <v>265</v>
      </c>
      <c r="E73" s="73">
        <f t="shared" si="30"/>
        <v>5.1587301587301584E-2</v>
      </c>
      <c r="F73" s="136">
        <f>IF(ISNUMBER(D73), $B91 * E73, "")</f>
        <v>7738.0952380952376</v>
      </c>
      <c r="G73" s="39">
        <v>260</v>
      </c>
      <c r="H73" s="73">
        <f t="shared" si="31"/>
        <v>3.1746031746031744E-2</v>
      </c>
      <c r="I73" s="202">
        <f>IF(ISNUMBER(G73), $B91 * H73, "")</f>
        <v>4761.9047619047615</v>
      </c>
      <c r="J73" s="125">
        <v>260</v>
      </c>
      <c r="K73" s="73">
        <f t="shared" si="32"/>
        <v>3.1746031746031744E-2</v>
      </c>
      <c r="L73" s="136">
        <f>IF(ISNUMBER(J73), $B91 * K73, "")</f>
        <v>4761.9047619047615</v>
      </c>
      <c r="M73" s="39">
        <v>252</v>
      </c>
      <c r="N73" s="73">
        <f t="shared" si="33"/>
        <v>0</v>
      </c>
      <c r="O73" s="136">
        <f>IF(ISNUMBER(M73), $B91 * N73, "")</f>
        <v>0</v>
      </c>
      <c r="Q73" s="275"/>
      <c r="R73" s="275"/>
      <c r="S73" s="275"/>
    </row>
    <row r="74" spans="1:19" ht="17.25" thickBot="1">
      <c r="A74" s="124" t="s">
        <v>134</v>
      </c>
      <c r="B74" s="125">
        <v>156</v>
      </c>
      <c r="C74" s="73">
        <v>6.1224489799999997E-2</v>
      </c>
      <c r="D74" s="125">
        <v>172</v>
      </c>
      <c r="E74" s="73">
        <f t="shared" si="30"/>
        <v>0.10256410256410256</v>
      </c>
      <c r="F74" s="136">
        <f>IF(ISNUMBER(D74), $B91 * E74, "")</f>
        <v>15384.615384615385</v>
      </c>
      <c r="G74" s="39">
        <v>165</v>
      </c>
      <c r="H74" s="73">
        <f t="shared" si="31"/>
        <v>5.7692307692307696E-2</v>
      </c>
      <c r="I74" s="202">
        <f>IF(ISNUMBER(G74), $B91 * H74, "")</f>
        <v>8653.8461538461543</v>
      </c>
      <c r="J74" s="125">
        <v>167</v>
      </c>
      <c r="K74" s="73">
        <f t="shared" si="32"/>
        <v>7.0512820512820512E-2</v>
      </c>
      <c r="L74" s="136">
        <f>IF(ISNUMBER(J74), $B91 * K74, "")</f>
        <v>10576.923076923076</v>
      </c>
      <c r="M74" s="39">
        <v>160</v>
      </c>
      <c r="N74" s="73">
        <f t="shared" si="33"/>
        <v>2.564102564102564E-2</v>
      </c>
      <c r="O74" s="136">
        <f>IF(ISNUMBER(M74), $B91 * N74, "")</f>
        <v>3846.1538461538462</v>
      </c>
      <c r="Q74" s="275"/>
      <c r="R74" s="275"/>
      <c r="S74" s="275"/>
    </row>
    <row r="75" spans="1:19" ht="17.25" thickBot="1">
      <c r="A75" s="126" t="s">
        <v>250</v>
      </c>
      <c r="B75" s="127">
        <v>201</v>
      </c>
      <c r="C75" s="74">
        <v>5.7894736799999999E-2</v>
      </c>
      <c r="D75" s="127">
        <v>207</v>
      </c>
      <c r="E75" s="74">
        <f t="shared" si="30"/>
        <v>2.9850746268656716E-2</v>
      </c>
      <c r="F75" s="203">
        <f>IF(ISNUMBER(D75), $B91 * E75, "")</f>
        <v>4477.6119402985078</v>
      </c>
      <c r="G75" s="44">
        <v>206</v>
      </c>
      <c r="H75" s="74">
        <f t="shared" si="31"/>
        <v>2.4875621890547265E-2</v>
      </c>
      <c r="I75" s="204">
        <f>IF(ISNUMBER(G75), $B91 * H75, "")</f>
        <v>3731.34328358209</v>
      </c>
      <c r="J75" s="127">
        <v>205</v>
      </c>
      <c r="K75" s="74">
        <f t="shared" si="32"/>
        <v>1.9900497512437811E-2</v>
      </c>
      <c r="L75" s="203">
        <f>IF(ISNUMBER(J75), $B91 * K75, "")</f>
        <v>2985.0746268656717</v>
      </c>
      <c r="M75" s="44">
        <v>200</v>
      </c>
      <c r="N75" s="74">
        <f t="shared" si="33"/>
        <v>-4.9751243781094526E-3</v>
      </c>
      <c r="O75" s="203">
        <f>IF(ISNUMBER(M75), $B91 * N75, "")</f>
        <v>-746.26865671641792</v>
      </c>
      <c r="Q75" s="275"/>
      <c r="R75" s="275"/>
      <c r="S75" s="275"/>
    </row>
    <row r="76" spans="1:19" ht="17.25" thickBot="1">
      <c r="A76" s="124" t="s">
        <v>122</v>
      </c>
      <c r="B76" s="128">
        <v>113</v>
      </c>
      <c r="C76" s="76">
        <v>4.6296296299999998E-2</v>
      </c>
      <c r="D76" s="128">
        <v>117</v>
      </c>
      <c r="E76" s="76">
        <f>IF(ISNUMBER(D76), (D76 - $B76) / $B76, "")</f>
        <v>3.5398230088495575E-2</v>
      </c>
      <c r="F76" s="205">
        <f>IF(ISNUMBER(D76), $B91 * E76, "")</f>
        <v>5309.7345132743358</v>
      </c>
      <c r="G76" s="45">
        <v>116</v>
      </c>
      <c r="H76" s="76">
        <f>IF(ISNUMBER(G76), (G76 - $B76) / $B76, "")</f>
        <v>2.6548672566371681E-2</v>
      </c>
      <c r="I76" s="206">
        <f>IF(ISNUMBER(G76), $B91 * H76, "")</f>
        <v>3982.3008849557523</v>
      </c>
      <c r="J76" s="128">
        <v>115</v>
      </c>
      <c r="K76" s="76">
        <f>IF(ISNUMBER(J76), (J76 - $B76) / $B76, "")</f>
        <v>1.7699115044247787E-2</v>
      </c>
      <c r="L76" s="205">
        <f>IF(ISNUMBER(J76), $B91 * K76, "")</f>
        <v>2654.8672566371679</v>
      </c>
      <c r="M76" s="45">
        <v>112</v>
      </c>
      <c r="N76" s="76">
        <f>IF(ISNUMBER(M76), (M76 - $B76) / $B76, "")</f>
        <v>-8.8495575221238937E-3</v>
      </c>
      <c r="O76" s="205">
        <f>IF(ISNUMBER(M76), $B91 * N76, "")</f>
        <v>-1327.4336283185839</v>
      </c>
      <c r="Q76" s="275"/>
      <c r="R76" s="275"/>
      <c r="S76" s="275"/>
    </row>
    <row r="77" spans="1:19" ht="17.25" thickBot="1">
      <c r="A77" s="124" t="s">
        <v>238</v>
      </c>
      <c r="B77" s="125">
        <v>277</v>
      </c>
      <c r="C77" s="73">
        <v>4.5283018899999999E-2</v>
      </c>
      <c r="D77" s="125">
        <v>288</v>
      </c>
      <c r="E77" s="73">
        <f t="shared" ref="E77:E80" si="34">IF(ISNUMBER(D77), (D77 - $B77) / $B77, "")</f>
        <v>3.9711191335740074E-2</v>
      </c>
      <c r="F77" s="136">
        <f>IF(ISNUMBER(D77), $B91 * E77, "")</f>
        <v>5956.6787003610116</v>
      </c>
      <c r="G77" s="39">
        <v>283</v>
      </c>
      <c r="H77" s="73">
        <f t="shared" ref="H77:H80" si="35">IF(ISNUMBER(G77), (G77 - $B77) / $B77, "")</f>
        <v>2.1660649819494584E-2</v>
      </c>
      <c r="I77" s="202">
        <f>IF(ISNUMBER(G77), $B91 * H77, "")</f>
        <v>3249.0974729241875</v>
      </c>
      <c r="J77" s="125">
        <v>282</v>
      </c>
      <c r="K77" s="73">
        <f t="shared" ref="K77:K80" si="36">IF(ISNUMBER(J77), (J77 - $B77) / $B77, "")</f>
        <v>1.8050541516245487E-2</v>
      </c>
      <c r="L77" s="136">
        <f>IF(ISNUMBER(J77), $B91 * K77, "")</f>
        <v>2707.5812274368232</v>
      </c>
      <c r="M77" s="39">
        <v>276</v>
      </c>
      <c r="N77" s="73">
        <f t="shared" ref="N77:N80" si="37">IF(ISNUMBER(M77), (M77 - $B77) / $B77, "")</f>
        <v>-3.6101083032490976E-3</v>
      </c>
      <c r="O77" s="136">
        <f>IF(ISNUMBER(M77), $B91 * N77, "")</f>
        <v>-541.51624548736459</v>
      </c>
      <c r="Q77" s="275"/>
      <c r="R77" s="275"/>
      <c r="S77" s="275"/>
    </row>
    <row r="78" spans="1:19" ht="17.25" thickBot="1">
      <c r="A78" s="124" t="s">
        <v>210</v>
      </c>
      <c r="B78" s="125">
        <v>180</v>
      </c>
      <c r="C78" s="73">
        <v>4.0462427699999998E-2</v>
      </c>
      <c r="D78" s="125">
        <v>190</v>
      </c>
      <c r="E78" s="73">
        <f t="shared" si="34"/>
        <v>5.5555555555555552E-2</v>
      </c>
      <c r="F78" s="136">
        <f>IF(ISNUMBER(D78), $B91 * E78, "")</f>
        <v>8333.3333333333321</v>
      </c>
      <c r="G78" s="39">
        <v>188</v>
      </c>
      <c r="H78" s="73">
        <f t="shared" si="35"/>
        <v>4.4444444444444446E-2</v>
      </c>
      <c r="I78" s="202">
        <f>IF(ISNUMBER(G78), $B91 * H78, "")</f>
        <v>6666.666666666667</v>
      </c>
      <c r="J78" s="125">
        <v>188</v>
      </c>
      <c r="K78" s="73">
        <f t="shared" si="36"/>
        <v>4.4444444444444446E-2</v>
      </c>
      <c r="L78" s="136">
        <f>IF(ISNUMBER(J78), $B91 * K78, "")</f>
        <v>6666.666666666667</v>
      </c>
      <c r="M78" s="39">
        <v>181</v>
      </c>
      <c r="N78" s="73">
        <f t="shared" si="37"/>
        <v>5.5555555555555558E-3</v>
      </c>
      <c r="O78" s="136">
        <f>IF(ISNUMBER(M78), $B91 * N78, "")</f>
        <v>833.33333333333337</v>
      </c>
      <c r="Q78" s="275"/>
      <c r="R78" s="275"/>
      <c r="S78" s="275"/>
    </row>
    <row r="79" spans="1:19" ht="17.25" thickBot="1">
      <c r="A79" s="124" t="s">
        <v>120</v>
      </c>
      <c r="B79" s="125">
        <v>209</v>
      </c>
      <c r="C79" s="73">
        <v>3.4653465299999998E-2</v>
      </c>
      <c r="D79" s="125">
        <v>214</v>
      </c>
      <c r="E79" s="73">
        <f t="shared" si="34"/>
        <v>2.3923444976076555E-2</v>
      </c>
      <c r="F79" s="136">
        <f>IF(ISNUMBER(D79), $B91 * E79, "")</f>
        <v>3588.5167464114834</v>
      </c>
      <c r="G79" s="39">
        <v>214</v>
      </c>
      <c r="H79" s="73">
        <f t="shared" si="35"/>
        <v>2.3923444976076555E-2</v>
      </c>
      <c r="I79" s="202">
        <f>IF(ISNUMBER(G79), $B91 * H79, "")</f>
        <v>3588.5167464114834</v>
      </c>
      <c r="J79" s="125">
        <v>215</v>
      </c>
      <c r="K79" s="73">
        <f t="shared" si="36"/>
        <v>2.8708133971291867E-2</v>
      </c>
      <c r="L79" s="136">
        <f>IF(ISNUMBER(J79), $B91 * K79, "")</f>
        <v>4306.2200956937804</v>
      </c>
      <c r="M79" s="39">
        <v>215</v>
      </c>
      <c r="N79" s="73">
        <f t="shared" si="37"/>
        <v>2.8708133971291867E-2</v>
      </c>
      <c r="O79" s="136">
        <f>IF(ISNUMBER(M79), $B91 * N79, "")</f>
        <v>4306.2200956937804</v>
      </c>
      <c r="Q79" s="33"/>
      <c r="R79" s="33"/>
    </row>
    <row r="80" spans="1:19" ht="17.25" thickBot="1">
      <c r="A80" s="129" t="s">
        <v>116</v>
      </c>
      <c r="B80" s="130">
        <v>608</v>
      </c>
      <c r="C80" s="75">
        <v>3.2258064500000003E-2</v>
      </c>
      <c r="D80" s="130">
        <v>643</v>
      </c>
      <c r="E80" s="75">
        <f t="shared" si="34"/>
        <v>5.7565789473684209E-2</v>
      </c>
      <c r="F80" s="137">
        <f>IF(ISNUMBER(D80), $B91 * E80, "")</f>
        <v>8634.8684210526317</v>
      </c>
      <c r="G80" s="37">
        <v>623</v>
      </c>
      <c r="H80" s="75">
        <f t="shared" si="35"/>
        <v>2.4671052631578948E-2</v>
      </c>
      <c r="I80" s="207">
        <f>IF(ISNUMBER(G80), $B91 * H80, "")</f>
        <v>3700.6578947368421</v>
      </c>
      <c r="J80" s="130">
        <v>622</v>
      </c>
      <c r="K80" s="75">
        <f t="shared" si="36"/>
        <v>2.3026315789473683E-2</v>
      </c>
      <c r="L80" s="137">
        <f>IF(ISNUMBER(J80), $B91 * K80, "")</f>
        <v>3453.9473684210525</v>
      </c>
      <c r="M80" s="37">
        <v>605</v>
      </c>
      <c r="N80" s="75">
        <f t="shared" si="37"/>
        <v>-4.9342105263157892E-3</v>
      </c>
      <c r="O80" s="137">
        <f>IF(ISNUMBER(M80), $B91 * N80, "")</f>
        <v>-740.13157894736833</v>
      </c>
      <c r="Q80" s="284"/>
      <c r="R80" s="285"/>
      <c r="S80" s="286"/>
    </row>
    <row r="81" spans="1:19">
      <c r="A81" s="122" t="s">
        <v>156</v>
      </c>
      <c r="B81" s="123">
        <v>166</v>
      </c>
      <c r="C81" s="72">
        <v>3.1055900599999998E-2</v>
      </c>
      <c r="D81" s="123">
        <v>177</v>
      </c>
      <c r="E81" s="72">
        <f>IF(ISNUMBER(D81), (D81 - $B81) / $B81, "")</f>
        <v>6.6265060240963861E-2</v>
      </c>
      <c r="F81" s="140">
        <f>IF(ISNUMBER(D81), $B91 * E81, "")</f>
        <v>9939.7590361445782</v>
      </c>
      <c r="G81" s="38">
        <v>170</v>
      </c>
      <c r="H81" s="72">
        <f>IF(ISNUMBER(G81), (G81 - $B81) / $B81, "")</f>
        <v>2.4096385542168676E-2</v>
      </c>
      <c r="I81" s="201">
        <f>IF(ISNUMBER(G81), $B91 * H81, "")</f>
        <v>3614.4578313253014</v>
      </c>
      <c r="J81" s="123">
        <v>169</v>
      </c>
      <c r="K81" s="72">
        <f>IF(ISNUMBER(J81), (J81 - $B81) / $B81, "")</f>
        <v>1.8072289156626505E-2</v>
      </c>
      <c r="L81" s="140">
        <f>IF(ISNUMBER(J81), $B91 * K81, "")</f>
        <v>2710.8433734939758</v>
      </c>
      <c r="M81" s="38">
        <v>167</v>
      </c>
      <c r="N81" s="72">
        <f>IF(ISNUMBER(M81), (M81 - $B81) / $B81, "")</f>
        <v>6.024096385542169E-3</v>
      </c>
      <c r="O81" s="140">
        <f>IF(ISNUMBER(M81), $B91 * N81, "")</f>
        <v>903.61445783132535</v>
      </c>
      <c r="Q81" s="287"/>
      <c r="R81" s="288"/>
      <c r="S81" s="289"/>
    </row>
    <row r="82" spans="1:19" ht="17.25" thickBot="1">
      <c r="A82" s="124" t="s">
        <v>240</v>
      </c>
      <c r="B82" s="125">
        <v>169</v>
      </c>
      <c r="C82" s="73">
        <v>3.0487804899999998E-2</v>
      </c>
      <c r="D82" s="125">
        <v>194</v>
      </c>
      <c r="E82" s="73">
        <f t="shared" ref="E82:E85" si="38">IF(ISNUMBER(D82), (D82 - $B82) / $B82, "")</f>
        <v>0.14792899408284024</v>
      </c>
      <c r="F82" s="136">
        <f>IF(ISNUMBER(D82), $B91 * E82, "")</f>
        <v>22189.349112426036</v>
      </c>
      <c r="G82" s="39">
        <v>182</v>
      </c>
      <c r="H82" s="73">
        <f t="shared" ref="H82:H85" si="39">IF(ISNUMBER(G82), (G82 - $B82) / $B82, "")</f>
        <v>7.6923076923076927E-2</v>
      </c>
      <c r="I82" s="202">
        <f>IF(ISNUMBER(G82), $B91 * H82, "")</f>
        <v>11538.461538461539</v>
      </c>
      <c r="J82" s="125">
        <v>181</v>
      </c>
      <c r="K82" s="73">
        <f t="shared" ref="K82:K85" si="40">IF(ISNUMBER(J82), (J82 - $B82) / $B82, "")</f>
        <v>7.1005917159763315E-2</v>
      </c>
      <c r="L82" s="136">
        <f>IF(ISNUMBER(J82), $B91 * K82, "")</f>
        <v>10650.887573964497</v>
      </c>
      <c r="M82" s="39">
        <v>173</v>
      </c>
      <c r="N82" s="73">
        <f t="shared" ref="N82:N85" si="41">IF(ISNUMBER(M82), (M82 - $B82) / $B82, "")</f>
        <v>2.3668639053254437E-2</v>
      </c>
      <c r="O82" s="136">
        <f>IF(ISNUMBER(M82), $B91 * N82, "")</f>
        <v>3550.2958579881656</v>
      </c>
      <c r="Q82" s="290"/>
      <c r="R82" s="291"/>
      <c r="S82" s="292"/>
    </row>
    <row r="83" spans="1:19" ht="17.25" thickBot="1">
      <c r="A83" s="124" t="s">
        <v>258</v>
      </c>
      <c r="B83" s="125">
        <v>665</v>
      </c>
      <c r="C83" s="73">
        <v>2.9411764699999999E-2</v>
      </c>
      <c r="D83" s="125">
        <v>686</v>
      </c>
      <c r="E83" s="73">
        <f t="shared" si="38"/>
        <v>3.1578947368421054E-2</v>
      </c>
      <c r="F83" s="136">
        <f>IF(ISNUMBER(D83), $B91 * E83, "")</f>
        <v>4736.8421052631584</v>
      </c>
      <c r="G83" s="39">
        <v>677</v>
      </c>
      <c r="H83" s="73">
        <f t="shared" si="39"/>
        <v>1.8045112781954888E-2</v>
      </c>
      <c r="I83" s="202">
        <f>IF(ISNUMBER(G83), $B91 * H83, "")</f>
        <v>2706.7669172932333</v>
      </c>
      <c r="J83" s="125">
        <v>675</v>
      </c>
      <c r="K83" s="73">
        <f t="shared" si="40"/>
        <v>1.5037593984962405E-2</v>
      </c>
      <c r="L83" s="136">
        <f>IF(ISNUMBER(J83), $B91 * K83, "")</f>
        <v>2255.6390977443607</v>
      </c>
      <c r="M83" s="39">
        <v>662</v>
      </c>
      <c r="N83" s="73">
        <f t="shared" si="41"/>
        <v>-4.5112781954887221E-3</v>
      </c>
      <c r="O83" s="136">
        <f>IF(ISNUMBER(M83), $B91 * N83, "")</f>
        <v>-676.69172932330832</v>
      </c>
      <c r="Q83" s="275"/>
      <c r="R83" s="275"/>
      <c r="S83" s="275"/>
    </row>
    <row r="84" spans="1:19" ht="17.25" thickBot="1">
      <c r="A84" s="124" t="s">
        <v>174</v>
      </c>
      <c r="B84" s="125">
        <v>260</v>
      </c>
      <c r="C84" s="73">
        <v>2.7667984199999999E-2</v>
      </c>
      <c r="D84" s="125">
        <v>274</v>
      </c>
      <c r="E84" s="73">
        <f t="shared" si="38"/>
        <v>5.3846153846153849E-2</v>
      </c>
      <c r="F84" s="136">
        <f>IF(ISNUMBER(D84), $B91 * E84, "")</f>
        <v>8076.9230769230771</v>
      </c>
      <c r="G84" s="39">
        <v>272</v>
      </c>
      <c r="H84" s="73">
        <f t="shared" si="39"/>
        <v>4.6153846153846156E-2</v>
      </c>
      <c r="I84" s="202">
        <f>IF(ISNUMBER(G84), $B91 * H84, "")</f>
        <v>6923.0769230769238</v>
      </c>
      <c r="J84" s="125">
        <v>274</v>
      </c>
      <c r="K84" s="73">
        <f t="shared" si="40"/>
        <v>5.3846153846153849E-2</v>
      </c>
      <c r="L84" s="136">
        <f>IF(ISNUMBER(J84), $B91 * K84, "")</f>
        <v>8076.9230769230771</v>
      </c>
      <c r="M84" s="39">
        <v>267</v>
      </c>
      <c r="N84" s="73">
        <f t="shared" si="41"/>
        <v>2.6923076923076925E-2</v>
      </c>
      <c r="O84" s="136">
        <f>IF(ISNUMBER(M84), $B91 * N84, "")</f>
        <v>4038.4615384615386</v>
      </c>
      <c r="Q84" s="270"/>
      <c r="R84" s="270"/>
      <c r="S84" s="270"/>
    </row>
    <row r="85" spans="1:19" ht="17.25" thickBot="1">
      <c r="A85" s="126" t="s">
        <v>202</v>
      </c>
      <c r="B85" s="127">
        <v>189</v>
      </c>
      <c r="C85" s="74">
        <v>2.7173913000000001E-2</v>
      </c>
      <c r="D85" s="127">
        <v>202</v>
      </c>
      <c r="E85" s="74">
        <f t="shared" si="38"/>
        <v>6.8783068783068779E-2</v>
      </c>
      <c r="F85" s="203">
        <f>IF(ISNUMBER(D85), $B91 * E85, "")</f>
        <v>10317.460317460316</v>
      </c>
      <c r="G85" s="44">
        <v>199</v>
      </c>
      <c r="H85" s="74">
        <f t="shared" si="39"/>
        <v>5.2910052910052907E-2</v>
      </c>
      <c r="I85" s="204">
        <f>IF(ISNUMBER(G85), $B91 * H85, "")</f>
        <v>7936.5079365079364</v>
      </c>
      <c r="J85" s="127">
        <v>199</v>
      </c>
      <c r="K85" s="74">
        <f t="shared" si="40"/>
        <v>5.2910052910052907E-2</v>
      </c>
      <c r="L85" s="203">
        <f>IF(ISNUMBER(J85), $B91 * K85, "")</f>
        <v>7936.5079365079364</v>
      </c>
      <c r="M85" s="44">
        <v>190</v>
      </c>
      <c r="N85" s="74">
        <f t="shared" si="41"/>
        <v>5.2910052910052907E-3</v>
      </c>
      <c r="O85" s="203">
        <f>IF(ISNUMBER(M85), $B91 * N85, "")</f>
        <v>793.65079365079362</v>
      </c>
      <c r="Q85" s="270"/>
      <c r="R85" s="270"/>
      <c r="S85" s="270"/>
    </row>
    <row r="86" spans="1:19" ht="17.25" thickBot="1">
      <c r="A86" s="124" t="s">
        <v>278</v>
      </c>
      <c r="B86" s="128">
        <v>155</v>
      </c>
      <c r="C86" s="76">
        <v>2.6490066199999999E-2</v>
      </c>
      <c r="D86" s="128">
        <v>160</v>
      </c>
      <c r="E86" s="76">
        <f>IF(ISNUMBER(D86), (D86 - $B86) / $B86, "")</f>
        <v>3.2258064516129031E-2</v>
      </c>
      <c r="F86" s="205">
        <f>IF(ISNUMBER(D86), $B91 * E86, "")</f>
        <v>4838.7096774193551</v>
      </c>
      <c r="G86" s="45">
        <v>156</v>
      </c>
      <c r="H86" s="76">
        <f>IF(ISNUMBER(G86), (G86 - $B86) / $B86, "")</f>
        <v>6.4516129032258064E-3</v>
      </c>
      <c r="I86" s="206">
        <f>IF(ISNUMBER(G86), $B91 * H86, "")</f>
        <v>967.74193548387098</v>
      </c>
      <c r="J86" s="128">
        <v>156</v>
      </c>
      <c r="K86" s="76">
        <f>IF(ISNUMBER(J86), (J86 - $B86) / $B86, "")</f>
        <v>6.4516129032258064E-3</v>
      </c>
      <c r="L86" s="205">
        <f>IF(ISNUMBER(J86), $B91 * K86, "")</f>
        <v>967.74193548387098</v>
      </c>
      <c r="M86" s="45">
        <v>153</v>
      </c>
      <c r="N86" s="76">
        <f>IF(ISNUMBER(M86), (M86 - $B86) / $B86, "")</f>
        <v>-1.2903225806451613E-2</v>
      </c>
      <c r="O86" s="205">
        <f>IF(ISNUMBER(M86), $B91 * N86, "")</f>
        <v>-1935.483870967742</v>
      </c>
      <c r="Q86" s="275"/>
      <c r="R86" s="275"/>
      <c r="S86" s="275"/>
    </row>
    <row r="87" spans="1:19" ht="17.25" thickBot="1">
      <c r="A87" s="124" t="s">
        <v>208</v>
      </c>
      <c r="B87" s="125">
        <v>461</v>
      </c>
      <c r="C87" s="73">
        <v>2.4444444400000001E-2</v>
      </c>
      <c r="D87" s="125">
        <v>562</v>
      </c>
      <c r="E87" s="73">
        <f t="shared" ref="E87:E90" si="42">IF(ISNUMBER(D87), (D87 - $B87) / $B87, "")</f>
        <v>0.21908893709327548</v>
      </c>
      <c r="F87" s="136">
        <f>IF(ISNUMBER(D87), $B91 * E87, "")</f>
        <v>32863.340563991325</v>
      </c>
      <c r="G87" s="39">
        <v>662</v>
      </c>
      <c r="H87" s="73">
        <f t="shared" ref="H87:H90" si="43">IF(ISNUMBER(G87), (G87 - $B87) / $B87, "")</f>
        <v>0.43600867678958788</v>
      </c>
      <c r="I87" s="202">
        <f>IF(ISNUMBER(G87), $B91 * H87, "")</f>
        <v>65401.30151843818</v>
      </c>
      <c r="J87" s="125">
        <v>619</v>
      </c>
      <c r="K87" s="73">
        <f t="shared" ref="K87:K90" si="44">IF(ISNUMBER(J87), (J87 - $B87) / $B87, "")</f>
        <v>0.34273318872017355</v>
      </c>
      <c r="L87" s="136">
        <f>IF(ISNUMBER(J87), $B91 * K87, "")</f>
        <v>51409.978308026031</v>
      </c>
      <c r="M87" s="39">
        <v>555</v>
      </c>
      <c r="N87" s="73">
        <f t="shared" ref="N87:N90" si="45">IF(ISNUMBER(M87), (M87 - $B87) / $B87, "")</f>
        <v>0.20390455531453361</v>
      </c>
      <c r="O87" s="136">
        <f>IF(ISNUMBER(M87), $B91 * N87, "")</f>
        <v>30585.68329718004</v>
      </c>
      <c r="Q87" s="275"/>
      <c r="R87" s="275"/>
      <c r="S87" s="275"/>
    </row>
    <row r="88" spans="1:19" ht="17.25" thickBot="1">
      <c r="A88" s="124" t="s">
        <v>260</v>
      </c>
      <c r="B88" s="125">
        <v>128</v>
      </c>
      <c r="C88" s="73">
        <v>2.4E-2</v>
      </c>
      <c r="D88" s="125">
        <v>134</v>
      </c>
      <c r="E88" s="73">
        <f t="shared" si="42"/>
        <v>4.6875E-2</v>
      </c>
      <c r="F88" s="136">
        <f>IF(ISNUMBER(D88), $B91 * E88, "")</f>
        <v>7031.25</v>
      </c>
      <c r="G88" s="39">
        <v>136</v>
      </c>
      <c r="H88" s="73">
        <f t="shared" si="43"/>
        <v>6.25E-2</v>
      </c>
      <c r="I88" s="202">
        <f>IF(ISNUMBER(G88), $B91 * H88, "")</f>
        <v>9375</v>
      </c>
      <c r="J88" s="125">
        <v>134</v>
      </c>
      <c r="K88" s="73">
        <f t="shared" si="44"/>
        <v>4.6875E-2</v>
      </c>
      <c r="L88" s="136">
        <f>IF(ISNUMBER(J88), $B91 * K88, "")</f>
        <v>7031.25</v>
      </c>
      <c r="M88" s="39">
        <v>126</v>
      </c>
      <c r="N88" s="73">
        <f t="shared" si="45"/>
        <v>-1.5625E-2</v>
      </c>
      <c r="O88" s="136">
        <f>IF(ISNUMBER(M88), $B91 * N88, "")</f>
        <v>-2343.75</v>
      </c>
      <c r="Q88" s="275"/>
      <c r="R88" s="275"/>
      <c r="S88" s="275"/>
    </row>
    <row r="89" spans="1:19">
      <c r="A89" s="124" t="s">
        <v>200</v>
      </c>
      <c r="B89" s="125">
        <v>334</v>
      </c>
      <c r="C89" s="73">
        <v>2.1406727800000001E-2</v>
      </c>
      <c r="D89" s="125">
        <v>351</v>
      </c>
      <c r="E89" s="73">
        <f t="shared" si="42"/>
        <v>5.089820359281437E-2</v>
      </c>
      <c r="F89" s="136">
        <f>IF(ISNUMBER(D89), $B91 * E89, "")</f>
        <v>7634.7305389221556</v>
      </c>
      <c r="G89" s="39">
        <v>347</v>
      </c>
      <c r="H89" s="73">
        <f t="shared" si="43"/>
        <v>3.8922155688622756E-2</v>
      </c>
      <c r="I89" s="202">
        <f>IF(ISNUMBER(G89), $B91 * H89, "")</f>
        <v>5838.3233532934137</v>
      </c>
      <c r="J89" s="125">
        <v>346</v>
      </c>
      <c r="K89" s="73">
        <f t="shared" si="44"/>
        <v>3.5928143712574849E-2</v>
      </c>
      <c r="L89" s="136">
        <f>IF(ISNUMBER(J89), $B91 * K89, "")</f>
        <v>5389.2215568862275</v>
      </c>
      <c r="M89" s="39">
        <v>340</v>
      </c>
      <c r="N89" s="73">
        <f t="shared" si="45"/>
        <v>1.7964071856287425E-2</v>
      </c>
      <c r="O89" s="136">
        <f>IF(ISNUMBER(M89), $B91 * N89, "")</f>
        <v>2694.6107784431138</v>
      </c>
      <c r="Q89" s="297"/>
      <c r="R89" s="298"/>
      <c r="S89" s="299"/>
    </row>
    <row r="90" spans="1:19" ht="17.25" thickBot="1">
      <c r="A90" s="129" t="s">
        <v>226</v>
      </c>
      <c r="B90" s="130">
        <v>478</v>
      </c>
      <c r="C90" s="75">
        <v>1.9189765500000001E-2</v>
      </c>
      <c r="D90" s="130">
        <v>505</v>
      </c>
      <c r="E90" s="75">
        <f t="shared" si="42"/>
        <v>5.6485355648535567E-2</v>
      </c>
      <c r="F90" s="137">
        <f>IF(ISNUMBER(D90), $B91 * E90, "")</f>
        <v>8472.8033472803345</v>
      </c>
      <c r="G90" s="37">
        <v>502</v>
      </c>
      <c r="H90" s="75">
        <f t="shared" si="43"/>
        <v>5.0209205020920501E-2</v>
      </c>
      <c r="I90" s="207">
        <f>IF(ISNUMBER(G90), $B91 * H90, "")</f>
        <v>7531.3807531380753</v>
      </c>
      <c r="J90" s="130">
        <v>502</v>
      </c>
      <c r="K90" s="75">
        <f t="shared" si="44"/>
        <v>5.0209205020920501E-2</v>
      </c>
      <c r="L90" s="137">
        <f>IF(ISNUMBER(J90), $B91 * K90, "")</f>
        <v>7531.3807531380753</v>
      </c>
      <c r="M90" s="37">
        <v>484</v>
      </c>
      <c r="N90" s="75">
        <f t="shared" si="45"/>
        <v>1.2552301255230125E-2</v>
      </c>
      <c r="O90" s="137">
        <f>IF(ISNUMBER(M90), $B91 * N90, "")</f>
        <v>1882.8451882845188</v>
      </c>
      <c r="Q90" s="300"/>
      <c r="R90" s="301"/>
      <c r="S90" s="302"/>
    </row>
    <row r="91" spans="1:19" ht="17.25" thickBot="1">
      <c r="A91" s="131" t="s">
        <v>301</v>
      </c>
      <c r="B91" s="308">
        <f>$B$37</f>
        <v>150000</v>
      </c>
      <c r="C91" s="309"/>
      <c r="D91" s="131" t="s">
        <v>302</v>
      </c>
      <c r="E91" s="215">
        <f>IF(COUNT(E71:E90), SUM(E71:E90) / COUNT(E71:E90), 0)</f>
        <v>5.8896233958629564E-2</v>
      </c>
      <c r="F91" s="208">
        <f>SUM(F71:F90)</f>
        <v>176688.70187588866</v>
      </c>
      <c r="G91" s="131" t="s">
        <v>302</v>
      </c>
      <c r="H91" s="215">
        <f>IF(COUNT(H71:H90), SUM(H71:H90) / COUNT(H71:H90), 0)</f>
        <v>5.4406697505010079E-2</v>
      </c>
      <c r="I91" s="208">
        <f>SUM(I71:I90)</f>
        <v>163220.09251503026</v>
      </c>
      <c r="J91" s="131" t="s">
        <v>302</v>
      </c>
      <c r="K91" s="215">
        <f>IF(COUNT(K71:K90), SUM(K71:K90) / COUNT(K71:K90), 0)</f>
        <v>4.892381742085395E-2</v>
      </c>
      <c r="L91" s="208">
        <f>SUM(L71:L90)</f>
        <v>146771.4522625618</v>
      </c>
      <c r="M91" s="131" t="s">
        <v>302</v>
      </c>
      <c r="N91" s="215">
        <f>IF(COUNT(N71:N90), SUM(N71:N90) / COUNT(N71:N90), 0)</f>
        <v>1.3987982748147901E-2</v>
      </c>
      <c r="O91" s="208">
        <f>SUM(O71:O90)</f>
        <v>41963.948244443702</v>
      </c>
      <c r="Q91" s="303"/>
      <c r="R91" s="304"/>
      <c r="S91" s="305"/>
    </row>
    <row r="93" spans="1:19" ht="17.25" thickBot="1"/>
    <row r="94" spans="1:19" ht="17.25" thickBot="1">
      <c r="A94" s="249" t="s">
        <v>46</v>
      </c>
      <c r="B94" s="250"/>
      <c r="C94" s="250"/>
      <c r="D94" s="250"/>
      <c r="E94" s="250"/>
      <c r="F94" s="250"/>
      <c r="G94" s="250"/>
      <c r="H94" s="250"/>
      <c r="I94" s="250"/>
      <c r="J94" s="250"/>
      <c r="K94" s="250"/>
      <c r="L94" s="250"/>
      <c r="M94" s="250"/>
      <c r="N94" s="250"/>
      <c r="O94" s="251"/>
      <c r="Q94" s="270"/>
      <c r="R94" s="270"/>
      <c r="S94" s="270"/>
    </row>
    <row r="95" spans="1:19" ht="17.25" thickBot="1">
      <c r="A95" s="209" t="s">
        <v>298</v>
      </c>
      <c r="B95" s="249" t="s">
        <v>49</v>
      </c>
      <c r="C95" s="251"/>
      <c r="D95" s="249" t="s">
        <v>58</v>
      </c>
      <c r="E95" s="250"/>
      <c r="F95" s="251"/>
      <c r="G95" s="276">
        <f>_xlfn.IFNA(VLOOKUP(B95, 현재가테이블!$B$2:$D$200, 2, FALSE), "-")</f>
        <v>60874000</v>
      </c>
      <c r="H95" s="277"/>
      <c r="I95" s="278"/>
      <c r="J95" s="249" t="s">
        <v>59</v>
      </c>
      <c r="K95" s="250"/>
      <c r="L95" s="251"/>
      <c r="M95" s="279">
        <f>_xlfn.IFNA(VLOOKUP(B95, 현재가테이블!$B$2:$D$200, 3, FALSE), "-")</f>
        <v>-1.4936000099999999E-2</v>
      </c>
      <c r="N95" s="280"/>
      <c r="O95" s="281"/>
      <c r="Q95" s="270"/>
      <c r="R95" s="270"/>
      <c r="S95" s="270"/>
    </row>
    <row r="96" spans="1:19" ht="17.25" thickBot="1">
      <c r="A96" s="310" t="s">
        <v>55</v>
      </c>
      <c r="B96" s="312" t="str">
        <f>TEXT($G$1, "[$-ko-KR]yyyy-mm-dd(ddd) ") &amp; "오전 00:00"</f>
        <v>2021-05-12(수) 오전 00:00</v>
      </c>
      <c r="C96" s="313"/>
      <c r="D96" s="249" t="str">
        <f>TEXT($G$1, "[$-ko-KR]yyyy-mm-dd(ddd) ") &amp; "오후 14:00"</f>
        <v>2021-05-12(수) 오후 14:00</v>
      </c>
      <c r="E96" s="250"/>
      <c r="F96" s="251"/>
      <c r="G96" s="249" t="str">
        <f>TEXT($G$1, "[$-ko-KR]yyyy-mm-dd(ddd) ") &amp; "오후 19:00"</f>
        <v>2021-05-12(수) 오후 19:00</v>
      </c>
      <c r="H96" s="250"/>
      <c r="I96" s="251"/>
      <c r="J96" s="249" t="str">
        <f>TEXT($G$1, "[$-ko-KR]yyyy-mm-dd(ddd) ") &amp; "오후 21:00"</f>
        <v>2021-05-12(수) 오후 21:00</v>
      </c>
      <c r="K96" s="250"/>
      <c r="L96" s="251"/>
      <c r="M96" s="249" t="str">
        <f>TEXT($G$1+1, "[$-ko-KR]yyyy-mm-dd(ddd) ") &amp; "오전 00:00"</f>
        <v>2021-05-13(목) 오전 00:00</v>
      </c>
      <c r="N96" s="250"/>
      <c r="O96" s="251"/>
      <c r="Q96" s="270"/>
      <c r="R96" s="270"/>
      <c r="S96" s="270"/>
    </row>
    <row r="97" spans="1:19" ht="17.25" thickBot="1">
      <c r="A97" s="311"/>
      <c r="B97" s="120" t="s">
        <v>58</v>
      </c>
      <c r="C97" s="121" t="s">
        <v>59</v>
      </c>
      <c r="D97" s="120" t="s">
        <v>58</v>
      </c>
      <c r="E97" s="121" t="s">
        <v>299</v>
      </c>
      <c r="F97" s="216" t="s">
        <v>300</v>
      </c>
      <c r="G97" s="209" t="s">
        <v>58</v>
      </c>
      <c r="H97" s="210" t="s">
        <v>299</v>
      </c>
      <c r="I97" s="211" t="s">
        <v>300</v>
      </c>
      <c r="J97" s="121" t="s">
        <v>58</v>
      </c>
      <c r="K97" s="121" t="s">
        <v>299</v>
      </c>
      <c r="L97" s="213" t="s">
        <v>300</v>
      </c>
      <c r="M97" s="120" t="s">
        <v>58</v>
      </c>
      <c r="N97" s="121" t="s">
        <v>299</v>
      </c>
      <c r="O97" s="214" t="s">
        <v>300</v>
      </c>
      <c r="Q97" s="275"/>
      <c r="R97" s="275"/>
      <c r="S97" s="275"/>
    </row>
    <row r="98" spans="1:19" ht="17.25" thickBot="1">
      <c r="A98" s="122" t="s">
        <v>236</v>
      </c>
      <c r="B98" s="123">
        <v>99.4</v>
      </c>
      <c r="C98" s="72">
        <v>0.61363636359999996</v>
      </c>
      <c r="D98" s="123">
        <v>92.6</v>
      </c>
      <c r="E98" s="72">
        <f>IF(ISNUMBER(D98), (D98 - $B98) / $B98, "")</f>
        <v>-6.8410462776660075E-2</v>
      </c>
      <c r="F98" s="140">
        <f>IF(ISNUMBER(D98), $B118 * E98, "")</f>
        <v>-10261.569416499011</v>
      </c>
      <c r="G98" s="38">
        <v>91.3</v>
      </c>
      <c r="H98" s="72">
        <f>IF(ISNUMBER(G98), (G98 - $B98) / $B98, "")</f>
        <v>-8.1488933601609734E-2</v>
      </c>
      <c r="I98" s="201">
        <f>IF(ISNUMBER(G98), $B118 * H98, "")</f>
        <v>-12223.340040241461</v>
      </c>
      <c r="J98" s="123">
        <v>90.7</v>
      </c>
      <c r="K98" s="72">
        <f>IF(ISNUMBER(J98), (J98 - $B98) / $B98, "")</f>
        <v>-8.7525150905432614E-2</v>
      </c>
      <c r="L98" s="140">
        <f>IF(ISNUMBER(J98), $B118 * K98, "")</f>
        <v>-13128.772635814892</v>
      </c>
      <c r="M98" s="38">
        <v>83.6</v>
      </c>
      <c r="N98" s="72">
        <f>IF(ISNUMBER(M98), (M98 - $B98) / $B98, "")</f>
        <v>-0.15895372233400412</v>
      </c>
      <c r="O98" s="140">
        <f>IF(ISNUMBER(M98), $B118 * N98, "")</f>
        <v>-23843.058350100619</v>
      </c>
      <c r="Q98" s="270"/>
      <c r="R98" s="270"/>
      <c r="S98" s="270"/>
    </row>
    <row r="99" spans="1:19" ht="17.25" thickBot="1">
      <c r="A99" s="124" t="s">
        <v>86</v>
      </c>
      <c r="B99" s="125">
        <v>15050</v>
      </c>
      <c r="C99" s="73">
        <v>0.27758913410000002</v>
      </c>
      <c r="D99" s="125">
        <v>16510</v>
      </c>
      <c r="E99" s="73">
        <f t="shared" ref="E99:E102" si="46">IF(ISNUMBER(D99), (D99 - $B99) / $B99, "")</f>
        <v>9.700996677740864E-2</v>
      </c>
      <c r="F99" s="136">
        <f>IF(ISNUMBER(D99), $B118 * E99, "")</f>
        <v>14551.495016611296</v>
      </c>
      <c r="G99" s="39">
        <v>16110</v>
      </c>
      <c r="H99" s="73">
        <f t="shared" ref="H99:H102" si="47">IF(ISNUMBER(G99), (G99 - $B99) / $B99, "")</f>
        <v>7.0431893687707636E-2</v>
      </c>
      <c r="I99" s="202">
        <f>IF(ISNUMBER(G99), $B118 * H99, "")</f>
        <v>10564.784053156145</v>
      </c>
      <c r="J99" s="125">
        <v>16010</v>
      </c>
      <c r="K99" s="73">
        <f t="shared" ref="K99:K102" si="48">IF(ISNUMBER(J99), (J99 - $B99) / $B99, "")</f>
        <v>6.3787375415282385E-2</v>
      </c>
      <c r="L99" s="136">
        <f>IF(ISNUMBER(J99), $B118 * K99, "")</f>
        <v>9568.106312292357</v>
      </c>
      <c r="M99" s="39">
        <v>15160</v>
      </c>
      <c r="N99" s="73">
        <f t="shared" ref="N99:N102" si="49">IF(ISNUMBER(M99), (M99 - $B99) / $B99, "")</f>
        <v>7.3089700996677737E-3</v>
      </c>
      <c r="O99" s="136">
        <f>IF(ISNUMBER(M99), $B118 * N99, "")</f>
        <v>1096.345514950166</v>
      </c>
      <c r="Q99" s="270"/>
      <c r="R99" s="270"/>
      <c r="S99" s="270"/>
    </row>
    <row r="100" spans="1:19" ht="17.25" thickBot="1">
      <c r="A100" s="124" t="s">
        <v>214</v>
      </c>
      <c r="B100" s="125">
        <v>22.1</v>
      </c>
      <c r="C100" s="73">
        <v>0.15706806279999999</v>
      </c>
      <c r="D100" s="125">
        <v>22.2</v>
      </c>
      <c r="E100" s="73">
        <f t="shared" si="46"/>
        <v>4.5248868778279576E-3</v>
      </c>
      <c r="F100" s="136">
        <f>IF(ISNUMBER(D100), $B118 * E100, "")</f>
        <v>678.73303167419363</v>
      </c>
      <c r="G100" s="39">
        <v>23.3</v>
      </c>
      <c r="H100" s="73">
        <f t="shared" si="47"/>
        <v>5.4298642533936618E-2</v>
      </c>
      <c r="I100" s="202">
        <f>IF(ISNUMBER(G100), $B118 * H100, "")</f>
        <v>8144.7963800904927</v>
      </c>
      <c r="J100" s="125">
        <v>25.9</v>
      </c>
      <c r="K100" s="73">
        <f t="shared" si="48"/>
        <v>0.17194570135746592</v>
      </c>
      <c r="L100" s="136">
        <f>IF(ISNUMBER(J100), $B118 * K100, "")</f>
        <v>25791.855203619889</v>
      </c>
      <c r="M100" s="39">
        <v>22.4</v>
      </c>
      <c r="N100" s="73">
        <f t="shared" si="49"/>
        <v>1.3574660633484033E-2</v>
      </c>
      <c r="O100" s="136">
        <f>IF(ISNUMBER(M100), $B118 * N100, "")</f>
        <v>2036.199095022605</v>
      </c>
      <c r="Q100" s="275"/>
      <c r="R100" s="275"/>
      <c r="S100" s="275"/>
    </row>
    <row r="101" spans="1:19" ht="17.25" thickBot="1">
      <c r="A101" s="124" t="s">
        <v>254</v>
      </c>
      <c r="B101" s="125">
        <v>88.5</v>
      </c>
      <c r="C101" s="73">
        <v>0.1538461538</v>
      </c>
      <c r="D101" s="125">
        <v>84.5</v>
      </c>
      <c r="E101" s="73">
        <f t="shared" si="46"/>
        <v>-4.519774011299435E-2</v>
      </c>
      <c r="F101" s="136">
        <f>IF(ISNUMBER(D101), $B118 * E101, "")</f>
        <v>-6779.6610169491523</v>
      </c>
      <c r="G101" s="39">
        <v>85.2</v>
      </c>
      <c r="H101" s="73">
        <f t="shared" si="47"/>
        <v>-3.7288135593220306E-2</v>
      </c>
      <c r="I101" s="202">
        <f>IF(ISNUMBER(G101), $B118 * H101, "")</f>
        <v>-5593.2203389830456</v>
      </c>
      <c r="J101" s="125">
        <v>85.4</v>
      </c>
      <c r="K101" s="73">
        <f t="shared" si="48"/>
        <v>-3.502824858757056E-2</v>
      </c>
      <c r="L101" s="136">
        <f>IF(ISNUMBER(J101), $B118 * K101, "")</f>
        <v>-5254.2372881355841</v>
      </c>
      <c r="M101" s="39">
        <v>82.8</v>
      </c>
      <c r="N101" s="73">
        <f t="shared" si="49"/>
        <v>-6.4406779661016975E-2</v>
      </c>
      <c r="O101" s="136">
        <f>IF(ISNUMBER(M101), $B118 * N101, "")</f>
        <v>-9661.0169491525467</v>
      </c>
      <c r="Q101" s="275"/>
      <c r="R101" s="275"/>
      <c r="S101" s="275"/>
    </row>
    <row r="102" spans="1:19" ht="17.25" thickBot="1">
      <c r="A102" s="126" t="s">
        <v>144</v>
      </c>
      <c r="B102" s="127">
        <v>14490</v>
      </c>
      <c r="C102" s="74">
        <v>0.13647058819999999</v>
      </c>
      <c r="D102" s="127">
        <v>14410</v>
      </c>
      <c r="E102" s="74">
        <f t="shared" si="46"/>
        <v>-5.521048999309869E-3</v>
      </c>
      <c r="F102" s="203">
        <f>IF(ISNUMBER(D102), $B118 * E102, "")</f>
        <v>-828.15734989648035</v>
      </c>
      <c r="G102" s="44">
        <v>13930</v>
      </c>
      <c r="H102" s="74">
        <f t="shared" si="47"/>
        <v>-3.864734299516908E-2</v>
      </c>
      <c r="I102" s="204">
        <f>IF(ISNUMBER(G102), $B118 * H102, "")</f>
        <v>-5797.101449275362</v>
      </c>
      <c r="J102" s="127">
        <v>14170</v>
      </c>
      <c r="K102" s="74">
        <f t="shared" si="48"/>
        <v>-2.2084195997239476E-2</v>
      </c>
      <c r="L102" s="203">
        <f>IF(ISNUMBER(J102), $B118 * K102, "")</f>
        <v>-3312.6293995859214</v>
      </c>
      <c r="M102" s="44">
        <v>13770</v>
      </c>
      <c r="N102" s="74">
        <f t="shared" si="49"/>
        <v>-4.9689440993788817E-2</v>
      </c>
      <c r="O102" s="203">
        <f>IF(ISNUMBER(M102), $B118 * N102, "")</f>
        <v>-7453.4161490683227</v>
      </c>
      <c r="Q102" s="275"/>
      <c r="R102" s="275"/>
      <c r="S102" s="275"/>
    </row>
    <row r="103" spans="1:19" ht="17.25" thickBot="1">
      <c r="A103" s="124" t="s">
        <v>268</v>
      </c>
      <c r="B103" s="128">
        <v>89.4</v>
      </c>
      <c r="C103" s="76">
        <v>9.9630996299999997E-2</v>
      </c>
      <c r="D103" s="128">
        <v>89.1</v>
      </c>
      <c r="E103" s="76">
        <f>IF(ISNUMBER(D103), (D103 - $B103) / $B103, "")</f>
        <v>-3.3557046979867042E-3</v>
      </c>
      <c r="F103" s="205">
        <f>IF(ISNUMBER(D103), $B118 * E103, "")</f>
        <v>-503.35570469800564</v>
      </c>
      <c r="G103" s="45">
        <v>90.5</v>
      </c>
      <c r="H103" s="76">
        <f>IF(ISNUMBER(G103), (G103 - $B103) / $B103, "")</f>
        <v>1.2304250559284052E-2</v>
      </c>
      <c r="I103" s="206">
        <f>IF(ISNUMBER(G103), $B118 * H103, "")</f>
        <v>1845.6375838926078</v>
      </c>
      <c r="J103" s="128">
        <v>91.3</v>
      </c>
      <c r="K103" s="76">
        <f>IF(ISNUMBER(J103), (J103 - $B103) / $B103, "")</f>
        <v>2.125279642058156E-2</v>
      </c>
      <c r="L103" s="205">
        <f>IF(ISNUMBER(J103), $B118 * K103, "")</f>
        <v>3187.9194630872339</v>
      </c>
      <c r="M103" s="45">
        <v>87.6</v>
      </c>
      <c r="N103" s="76">
        <f>IF(ISNUMBER(M103), (M103 - $B103) / $B103, "")</f>
        <v>-2.013422818791959E-2</v>
      </c>
      <c r="O103" s="205">
        <f>IF(ISNUMBER(M103), $B118 * N103, "")</f>
        <v>-3020.1342281879383</v>
      </c>
      <c r="Q103" s="275"/>
      <c r="R103" s="275"/>
      <c r="S103" s="275"/>
    </row>
    <row r="104" spans="1:19" ht="17.25" thickBot="1">
      <c r="A104" s="124" t="s">
        <v>126</v>
      </c>
      <c r="B104" s="125">
        <v>57.7</v>
      </c>
      <c r="C104" s="73">
        <v>9.4876660299999999E-2</v>
      </c>
      <c r="D104" s="125">
        <v>56.7</v>
      </c>
      <c r="E104" s="73">
        <f t="shared" ref="E104:E107" si="50">IF(ISNUMBER(D104), (D104 - $B104) / $B104, "")</f>
        <v>-1.7331022530329289E-2</v>
      </c>
      <c r="F104" s="136">
        <f>IF(ISNUMBER(D104), $B118 * E104, "")</f>
        <v>-2599.6533795493933</v>
      </c>
      <c r="G104" s="39">
        <v>56.3</v>
      </c>
      <c r="H104" s="73">
        <f t="shared" ref="H104:H107" si="51">IF(ISNUMBER(G104), (G104 - $B104) / $B104, "")</f>
        <v>-2.4263431542461102E-2</v>
      </c>
      <c r="I104" s="202">
        <f>IF(ISNUMBER(G104), $B118 * H104, "")</f>
        <v>-3639.5147313691655</v>
      </c>
      <c r="J104" s="125">
        <v>56.3</v>
      </c>
      <c r="K104" s="73">
        <f t="shared" ref="K104:K107" si="52">IF(ISNUMBER(J104), (J104 - $B104) / $B104, "")</f>
        <v>-2.4263431542461102E-2</v>
      </c>
      <c r="L104" s="136">
        <f>IF(ISNUMBER(J104), $B118 * K104, "")</f>
        <v>-3639.5147313691655</v>
      </c>
      <c r="M104" s="39">
        <v>54.6</v>
      </c>
      <c r="N104" s="73">
        <f t="shared" ref="N104:N107" si="53">IF(ISNUMBER(M104), (M104 - $B104) / $B104, "")</f>
        <v>-5.3726169844020816E-2</v>
      </c>
      <c r="O104" s="136">
        <f>IF(ISNUMBER(M104), $B118 * N104, "")</f>
        <v>-8058.9254766031227</v>
      </c>
      <c r="Q104" s="275"/>
      <c r="R104" s="275"/>
      <c r="S104" s="275"/>
    </row>
    <row r="105" spans="1:19" ht="17.25" thickBot="1">
      <c r="A105" s="124" t="s">
        <v>230</v>
      </c>
      <c r="B105" s="125">
        <v>164</v>
      </c>
      <c r="C105" s="73">
        <v>7.8947368399999995E-2</v>
      </c>
      <c r="D105" s="125">
        <v>169</v>
      </c>
      <c r="E105" s="73">
        <f t="shared" si="50"/>
        <v>3.048780487804878E-2</v>
      </c>
      <c r="F105" s="136">
        <f>IF(ISNUMBER(D105), $B118 * E105, "")</f>
        <v>4573.1707317073169</v>
      </c>
      <c r="G105" s="39">
        <v>170</v>
      </c>
      <c r="H105" s="73">
        <f t="shared" si="51"/>
        <v>3.6585365853658534E-2</v>
      </c>
      <c r="I105" s="202">
        <f>IF(ISNUMBER(G105), $B118 * H105, "")</f>
        <v>5487.8048780487798</v>
      </c>
      <c r="J105" s="125">
        <v>171</v>
      </c>
      <c r="K105" s="73">
        <f t="shared" si="52"/>
        <v>4.2682926829268296E-2</v>
      </c>
      <c r="L105" s="136">
        <f>IF(ISNUMBER(J105), $B118 * K105, "")</f>
        <v>6402.4390243902444</v>
      </c>
      <c r="M105" s="39">
        <v>168</v>
      </c>
      <c r="N105" s="73">
        <f t="shared" si="53"/>
        <v>2.4390243902439025E-2</v>
      </c>
      <c r="O105" s="136">
        <f>IF(ISNUMBER(M105), $B118 * N105, "")</f>
        <v>3658.5365853658536</v>
      </c>
      <c r="Q105" s="275"/>
      <c r="R105" s="275"/>
      <c r="S105" s="275"/>
    </row>
    <row r="106" spans="1:19" ht="17.25" thickBot="1">
      <c r="A106" s="124" t="s">
        <v>158</v>
      </c>
      <c r="B106" s="125">
        <v>9825</v>
      </c>
      <c r="C106" s="73">
        <v>7.7893582000000003E-2</v>
      </c>
      <c r="D106" s="125">
        <v>10350</v>
      </c>
      <c r="E106" s="73">
        <f t="shared" si="50"/>
        <v>5.3435114503816793E-2</v>
      </c>
      <c r="F106" s="136">
        <f>IF(ISNUMBER(D106), $B118 * E106, "")</f>
        <v>8015.2671755725187</v>
      </c>
      <c r="G106" s="39">
        <v>10490</v>
      </c>
      <c r="H106" s="73">
        <f t="shared" si="51"/>
        <v>6.7684478371501267E-2</v>
      </c>
      <c r="I106" s="202">
        <f>IF(ISNUMBER(G106), $B118 * H106, "")</f>
        <v>10152.67175572519</v>
      </c>
      <c r="J106" s="125">
        <v>10460</v>
      </c>
      <c r="K106" s="73">
        <f t="shared" si="52"/>
        <v>6.463104325699745E-2</v>
      </c>
      <c r="L106" s="136">
        <f>IF(ISNUMBER(J106), $B118 * K106, "")</f>
        <v>9694.6564885496173</v>
      </c>
      <c r="M106" s="39">
        <v>10100</v>
      </c>
      <c r="N106" s="73">
        <f t="shared" si="53"/>
        <v>2.7989821882951654E-2</v>
      </c>
      <c r="O106" s="136">
        <f>IF(ISNUMBER(M106), $B118 * N106, "")</f>
        <v>4198.4732824427483</v>
      </c>
      <c r="Q106" s="33"/>
      <c r="R106" s="33"/>
    </row>
    <row r="107" spans="1:19" ht="17.25" thickBot="1">
      <c r="A107" s="129" t="s">
        <v>172</v>
      </c>
      <c r="B107" s="130">
        <v>23.9</v>
      </c>
      <c r="C107" s="75">
        <v>7.6576576600000001E-2</v>
      </c>
      <c r="D107" s="130">
        <v>26.3</v>
      </c>
      <c r="E107" s="75">
        <f t="shared" si="50"/>
        <v>0.1004184100418411</v>
      </c>
      <c r="F107" s="137">
        <f>IF(ISNUMBER(D107), $B118 * E107, "")</f>
        <v>15062.761506276165</v>
      </c>
      <c r="G107" s="37">
        <v>25.5</v>
      </c>
      <c r="H107" s="75">
        <f t="shared" si="51"/>
        <v>6.6945606694560733E-2</v>
      </c>
      <c r="I107" s="207">
        <f>IF(ISNUMBER(G107), $B118 * H107, "")</f>
        <v>10041.841004184111</v>
      </c>
      <c r="J107" s="130">
        <v>25.8</v>
      </c>
      <c r="K107" s="75">
        <f t="shared" si="52"/>
        <v>7.9497907949790891E-2</v>
      </c>
      <c r="L107" s="137">
        <f>IF(ISNUMBER(J107), $B118 * K107, "")</f>
        <v>11924.686192468635</v>
      </c>
      <c r="M107" s="37">
        <v>24.3</v>
      </c>
      <c r="N107" s="75">
        <f t="shared" si="53"/>
        <v>1.6736401673640256E-2</v>
      </c>
      <c r="O107" s="137">
        <f>IF(ISNUMBER(M107), $B118 * N107, "")</f>
        <v>2510.4602510460386</v>
      </c>
      <c r="Q107" s="284"/>
      <c r="R107" s="285"/>
      <c r="S107" s="286"/>
    </row>
    <row r="108" spans="1:19">
      <c r="A108" s="122" t="s">
        <v>218</v>
      </c>
      <c r="B108" s="123">
        <v>26.8</v>
      </c>
      <c r="C108" s="72">
        <v>7.1999999999999995E-2</v>
      </c>
      <c r="D108" s="123">
        <v>27.7</v>
      </c>
      <c r="E108" s="72">
        <f>IF(ISNUMBER(D108), (D108 - $B108) / $B108, "")</f>
        <v>3.358208955223875E-2</v>
      </c>
      <c r="F108" s="140">
        <f>IF(ISNUMBER(D108), $B118 * E108, "")</f>
        <v>5037.3134328358128</v>
      </c>
      <c r="G108" s="38">
        <v>27.5</v>
      </c>
      <c r="H108" s="72">
        <f>IF(ISNUMBER(G108), (G108 - $B108) / $B108, "")</f>
        <v>2.6119402985074598E-2</v>
      </c>
      <c r="I108" s="201">
        <f>IF(ISNUMBER(G108), $B118 * H108, "")</f>
        <v>3917.9104477611895</v>
      </c>
      <c r="J108" s="123">
        <v>27.8</v>
      </c>
      <c r="K108" s="72">
        <f>IF(ISNUMBER(J108), (J108 - $B108) / $B108, "")</f>
        <v>3.7313432835820892E-2</v>
      </c>
      <c r="L108" s="140">
        <f>IF(ISNUMBER(J108), $B118 * K108, "")</f>
        <v>5597.0149253731342</v>
      </c>
      <c r="M108" s="38">
        <v>26.7</v>
      </c>
      <c r="N108" s="72">
        <f>IF(ISNUMBER(M108), (M108 - $B108) / $B108, "")</f>
        <v>-3.7313432835821424E-3</v>
      </c>
      <c r="O108" s="140">
        <f>IF(ISNUMBER(M108), $B118 * N108, "")</f>
        <v>-559.70149253732131</v>
      </c>
      <c r="Q108" s="287"/>
      <c r="R108" s="288"/>
      <c r="S108" s="289"/>
    </row>
    <row r="109" spans="1:19" ht="17.25" thickBot="1">
      <c r="A109" s="124" t="s">
        <v>296</v>
      </c>
      <c r="B109" s="125">
        <v>616</v>
      </c>
      <c r="C109" s="73">
        <v>7.1304347800000001E-2</v>
      </c>
      <c r="D109" s="125">
        <v>602</v>
      </c>
      <c r="E109" s="73">
        <f t="shared" ref="E109:E112" si="54">IF(ISNUMBER(D109), (D109 - $B109) / $B109, "")</f>
        <v>-2.2727272727272728E-2</v>
      </c>
      <c r="F109" s="136">
        <f>IF(ISNUMBER(D109), $B118 * E109, "")</f>
        <v>-3409.090909090909</v>
      </c>
      <c r="G109" s="39">
        <v>606</v>
      </c>
      <c r="H109" s="73">
        <f t="shared" ref="H109:H112" si="55">IF(ISNUMBER(G109), (G109 - $B109) / $B109, "")</f>
        <v>-1.6233766233766232E-2</v>
      </c>
      <c r="I109" s="202">
        <f>IF(ISNUMBER(G109), $B118 * H109, "")</f>
        <v>-2435.0649350649346</v>
      </c>
      <c r="J109" s="125">
        <v>609</v>
      </c>
      <c r="K109" s="73">
        <f t="shared" ref="K109:K112" si="56">IF(ISNUMBER(J109), (J109 - $B109) / $B109, "")</f>
        <v>-1.1363636363636364E-2</v>
      </c>
      <c r="L109" s="136">
        <f>IF(ISNUMBER(J109), $B118 * K109, "")</f>
        <v>-1704.5454545454545</v>
      </c>
      <c r="M109" s="39">
        <v>588</v>
      </c>
      <c r="N109" s="73">
        <f t="shared" ref="N109:N112" si="57">IF(ISNUMBER(M109), (M109 - $B109) / $B109, "")</f>
        <v>-4.5454545454545456E-2</v>
      </c>
      <c r="O109" s="136">
        <f>IF(ISNUMBER(M109), $B118 * N109, "")</f>
        <v>-6818.181818181818</v>
      </c>
      <c r="Q109" s="290"/>
      <c r="R109" s="291"/>
      <c r="S109" s="292"/>
    </row>
    <row r="110" spans="1:19" ht="17.25" thickBot="1">
      <c r="A110" s="124" t="s">
        <v>222</v>
      </c>
      <c r="B110" s="125">
        <v>18.100000000000001</v>
      </c>
      <c r="C110" s="73">
        <v>6.4705882399999998E-2</v>
      </c>
      <c r="D110" s="125">
        <v>18.899999999999999</v>
      </c>
      <c r="E110" s="73">
        <f t="shared" si="54"/>
        <v>4.4198895027624148E-2</v>
      </c>
      <c r="F110" s="136">
        <f>IF(ISNUMBER(D110), $B118 * E110, "")</f>
        <v>6629.8342541436223</v>
      </c>
      <c r="G110" s="39">
        <v>18.600000000000001</v>
      </c>
      <c r="H110" s="73">
        <f t="shared" si="55"/>
        <v>2.7624309392265192E-2</v>
      </c>
      <c r="I110" s="202">
        <f>IF(ISNUMBER(G110), $B118 * H110, "")</f>
        <v>4143.6464088397788</v>
      </c>
      <c r="J110" s="125">
        <v>19</v>
      </c>
      <c r="K110" s="73">
        <f t="shared" si="56"/>
        <v>4.9723756906077263E-2</v>
      </c>
      <c r="L110" s="136">
        <f>IF(ISNUMBER(J110), $B118 * K110, "")</f>
        <v>7458.5635359115895</v>
      </c>
      <c r="M110" s="39">
        <v>18.100000000000001</v>
      </c>
      <c r="N110" s="73">
        <f t="shared" si="57"/>
        <v>0</v>
      </c>
      <c r="O110" s="136">
        <f>IF(ISNUMBER(M110), $B118 * N110, "")</f>
        <v>0</v>
      </c>
      <c r="Q110" s="275"/>
      <c r="R110" s="275"/>
      <c r="S110" s="275"/>
    </row>
    <row r="111" spans="1:19" ht="17.25" thickBot="1">
      <c r="A111" s="124" t="s">
        <v>112</v>
      </c>
      <c r="B111" s="125">
        <v>252</v>
      </c>
      <c r="C111" s="73">
        <v>6.3291139199999999E-2</v>
      </c>
      <c r="D111" s="125">
        <v>265</v>
      </c>
      <c r="E111" s="73">
        <f t="shared" si="54"/>
        <v>5.1587301587301584E-2</v>
      </c>
      <c r="F111" s="136">
        <f>IF(ISNUMBER(D111), $B118 * E111, "")</f>
        <v>7738.0952380952376</v>
      </c>
      <c r="G111" s="39">
        <v>260</v>
      </c>
      <c r="H111" s="73">
        <f t="shared" si="55"/>
        <v>3.1746031746031744E-2</v>
      </c>
      <c r="I111" s="202">
        <f>IF(ISNUMBER(G111), $B118 * H111, "")</f>
        <v>4761.9047619047615</v>
      </c>
      <c r="J111" s="125">
        <v>260</v>
      </c>
      <c r="K111" s="73">
        <f t="shared" si="56"/>
        <v>3.1746031746031744E-2</v>
      </c>
      <c r="L111" s="136">
        <f>IF(ISNUMBER(J111), $B118 * K111, "")</f>
        <v>4761.9047619047615</v>
      </c>
      <c r="M111" s="39">
        <v>252</v>
      </c>
      <c r="N111" s="73">
        <f t="shared" si="57"/>
        <v>0</v>
      </c>
      <c r="O111" s="136">
        <f>IF(ISNUMBER(M111), $B118 * N111, "")</f>
        <v>0</v>
      </c>
      <c r="Q111" s="270"/>
      <c r="R111" s="270"/>
      <c r="S111" s="270"/>
    </row>
    <row r="112" spans="1:19" ht="17.25" thickBot="1">
      <c r="A112" s="126" t="s">
        <v>134</v>
      </c>
      <c r="B112" s="127">
        <v>156</v>
      </c>
      <c r="C112" s="74">
        <v>6.1224489799999997E-2</v>
      </c>
      <c r="D112" s="127">
        <v>172</v>
      </c>
      <c r="E112" s="74">
        <f t="shared" si="54"/>
        <v>0.10256410256410256</v>
      </c>
      <c r="F112" s="203">
        <f>IF(ISNUMBER(D112), $B118 * E112, "")</f>
        <v>15384.615384615385</v>
      </c>
      <c r="G112" s="44">
        <v>165</v>
      </c>
      <c r="H112" s="74">
        <f t="shared" si="55"/>
        <v>5.7692307692307696E-2</v>
      </c>
      <c r="I112" s="204">
        <f>IF(ISNUMBER(G112), $B118 * H112, "")</f>
        <v>8653.8461538461543</v>
      </c>
      <c r="J112" s="127">
        <v>167</v>
      </c>
      <c r="K112" s="74">
        <f t="shared" si="56"/>
        <v>7.0512820512820512E-2</v>
      </c>
      <c r="L112" s="203">
        <f>IF(ISNUMBER(J112), $B118 * K112, "")</f>
        <v>10576.923076923076</v>
      </c>
      <c r="M112" s="44">
        <v>160</v>
      </c>
      <c r="N112" s="74">
        <f t="shared" si="57"/>
        <v>2.564102564102564E-2</v>
      </c>
      <c r="O112" s="203">
        <f>IF(ISNUMBER(M112), $B118 * N112, "")</f>
        <v>3846.1538461538462</v>
      </c>
      <c r="Q112" s="270"/>
      <c r="R112" s="270"/>
      <c r="S112" s="270"/>
    </row>
    <row r="113" spans="1:19" ht="17.25" thickBot="1">
      <c r="A113" s="124" t="s">
        <v>98</v>
      </c>
      <c r="B113" s="128">
        <v>8330</v>
      </c>
      <c r="C113" s="76">
        <v>6.1146496799999998E-2</v>
      </c>
      <c r="D113" s="128">
        <v>8510</v>
      </c>
      <c r="E113" s="76">
        <f>IF(ISNUMBER(D113), (D113 - $B113) / $B113, "")</f>
        <v>2.1608643457382955E-2</v>
      </c>
      <c r="F113" s="205">
        <f>IF(ISNUMBER(D113), $B118 * E113, "")</f>
        <v>3241.2965186074434</v>
      </c>
      <c r="G113" s="45">
        <v>8560</v>
      </c>
      <c r="H113" s="76">
        <f>IF(ISNUMBER(G113), (G113 - $B113) / $B113, "")</f>
        <v>2.7611044417767107E-2</v>
      </c>
      <c r="I113" s="206">
        <f>IF(ISNUMBER(G113), $B118 * H113, "")</f>
        <v>4141.6566626650656</v>
      </c>
      <c r="J113" s="128">
        <v>8535</v>
      </c>
      <c r="K113" s="76">
        <f>IF(ISNUMBER(J113), (J113 - $B113) / $B113, "")</f>
        <v>2.4609843937575031E-2</v>
      </c>
      <c r="L113" s="205">
        <f>IF(ISNUMBER(J113), $B118 * K113, "")</f>
        <v>3691.4765906362545</v>
      </c>
      <c r="M113" s="45">
        <v>8390</v>
      </c>
      <c r="N113" s="76">
        <f>IF(ISNUMBER(M113), (M113 - $B113) / $B113, "")</f>
        <v>7.2028811524609843E-3</v>
      </c>
      <c r="O113" s="205">
        <f>IF(ISNUMBER(M113), $B118 * N113, "")</f>
        <v>1080.4321728691477</v>
      </c>
      <c r="Q113" s="275"/>
      <c r="R113" s="275"/>
      <c r="S113" s="275"/>
    </row>
    <row r="114" spans="1:19" ht="17.25" thickBot="1">
      <c r="A114" s="124" t="s">
        <v>78</v>
      </c>
      <c r="B114" s="125">
        <v>1776500</v>
      </c>
      <c r="C114" s="73">
        <v>5.8070279900000001E-2</v>
      </c>
      <c r="D114" s="125">
        <v>1903500</v>
      </c>
      <c r="E114" s="73">
        <f t="shared" ref="E114:E117" si="58">IF(ISNUMBER(D114), (D114 - $B114) / $B114, "")</f>
        <v>7.1488882634393472E-2</v>
      </c>
      <c r="F114" s="136">
        <f>IF(ISNUMBER(D114), $B118 * E114, "")</f>
        <v>10723.332395159021</v>
      </c>
      <c r="G114" s="39">
        <v>1830000</v>
      </c>
      <c r="H114" s="73">
        <f t="shared" ref="H114:H117" si="59">IF(ISNUMBER(G114), (G114 - $B114) / $B114, "")</f>
        <v>3.0115395440472838E-2</v>
      </c>
      <c r="I114" s="202">
        <f>IF(ISNUMBER(G114), $B118 * H114, "")</f>
        <v>4517.3093160709259</v>
      </c>
      <c r="J114" s="125">
        <v>1833000</v>
      </c>
      <c r="K114" s="73">
        <f t="shared" ref="K114:K117" si="60">IF(ISNUMBER(J114), (J114 - $B114) / $B114, "")</f>
        <v>3.1804109203490007E-2</v>
      </c>
      <c r="L114" s="136">
        <f>IF(ISNUMBER(J114), $B118 * K114, "")</f>
        <v>4770.616380523501</v>
      </c>
      <c r="M114" s="39">
        <v>1792500</v>
      </c>
      <c r="N114" s="73">
        <f t="shared" ref="N114:N117" si="61">IF(ISNUMBER(M114), (M114 - $B114) / $B114, "")</f>
        <v>9.0064734027582322E-3</v>
      </c>
      <c r="O114" s="136">
        <f>IF(ISNUMBER(M114), $B118 * N114, "")</f>
        <v>1350.9710104137348</v>
      </c>
      <c r="Q114" s="275"/>
      <c r="R114" s="275"/>
      <c r="S114" s="275"/>
    </row>
    <row r="115" spans="1:19" ht="17.25" thickBot="1">
      <c r="A115" s="124" t="s">
        <v>250</v>
      </c>
      <c r="B115" s="125">
        <v>201</v>
      </c>
      <c r="C115" s="73">
        <v>5.7894736799999999E-2</v>
      </c>
      <c r="D115" s="125">
        <v>207</v>
      </c>
      <c r="E115" s="73">
        <f t="shared" si="58"/>
        <v>2.9850746268656716E-2</v>
      </c>
      <c r="F115" s="136">
        <f>IF(ISNUMBER(D115), $B118 * E115, "")</f>
        <v>4477.6119402985078</v>
      </c>
      <c r="G115" s="39">
        <v>206</v>
      </c>
      <c r="H115" s="73">
        <f t="shared" si="59"/>
        <v>2.4875621890547265E-2</v>
      </c>
      <c r="I115" s="202">
        <f>IF(ISNUMBER(G115), $B118 * H115, "")</f>
        <v>3731.34328358209</v>
      </c>
      <c r="J115" s="125">
        <v>205</v>
      </c>
      <c r="K115" s="73">
        <f t="shared" si="60"/>
        <v>1.9900497512437811E-2</v>
      </c>
      <c r="L115" s="136">
        <f>IF(ISNUMBER(J115), $B118 * K115, "")</f>
        <v>2985.0746268656717</v>
      </c>
      <c r="M115" s="39">
        <v>200</v>
      </c>
      <c r="N115" s="73">
        <f t="shared" si="61"/>
        <v>-4.9751243781094526E-3</v>
      </c>
      <c r="O115" s="136">
        <f>IF(ISNUMBER(M115), $B118 * N115, "")</f>
        <v>-746.26865671641792</v>
      </c>
      <c r="Q115" s="275"/>
      <c r="R115" s="275"/>
      <c r="S115" s="275"/>
    </row>
    <row r="116" spans="1:19">
      <c r="A116" s="124" t="s">
        <v>186</v>
      </c>
      <c r="B116" s="125">
        <v>23.8</v>
      </c>
      <c r="C116" s="73">
        <v>5.7777777799999999E-2</v>
      </c>
      <c r="D116" s="125">
        <v>24.8</v>
      </c>
      <c r="E116" s="73">
        <f t="shared" si="58"/>
        <v>4.2016806722689072E-2</v>
      </c>
      <c r="F116" s="136">
        <f>IF(ISNUMBER(D116), $B118 * E116, "")</f>
        <v>6302.5210084033606</v>
      </c>
      <c r="G116" s="39">
        <v>24.9</v>
      </c>
      <c r="H116" s="73">
        <f t="shared" si="59"/>
        <v>4.6218487394957895E-2</v>
      </c>
      <c r="I116" s="202">
        <f>IF(ISNUMBER(G116), $B118 * H116, "")</f>
        <v>6932.7731092436843</v>
      </c>
      <c r="J116" s="125">
        <v>25.1</v>
      </c>
      <c r="K116" s="73">
        <f t="shared" si="60"/>
        <v>5.4621848739495826E-2</v>
      </c>
      <c r="L116" s="136">
        <f>IF(ISNUMBER(J116), $B118 * K116, "")</f>
        <v>8193.2773109243735</v>
      </c>
      <c r="M116" s="39">
        <v>23.8</v>
      </c>
      <c r="N116" s="73">
        <f t="shared" si="61"/>
        <v>0</v>
      </c>
      <c r="O116" s="136">
        <f>IF(ISNUMBER(M116), $B118 * N116, "")</f>
        <v>0</v>
      </c>
      <c r="Q116" s="297"/>
      <c r="R116" s="298"/>
      <c r="S116" s="299"/>
    </row>
    <row r="117" spans="1:19" ht="17.25" thickBot="1">
      <c r="A117" s="129" t="s">
        <v>196</v>
      </c>
      <c r="B117" s="130">
        <v>19.3</v>
      </c>
      <c r="C117" s="75">
        <v>5.4644808699999999E-2</v>
      </c>
      <c r="D117" s="130">
        <v>20.100000000000001</v>
      </c>
      <c r="E117" s="75">
        <f t="shared" si="58"/>
        <v>4.1450777202072575E-2</v>
      </c>
      <c r="F117" s="137">
        <f>IF(ISNUMBER(D117), $B118 * E117, "")</f>
        <v>6217.6165803108861</v>
      </c>
      <c r="G117" s="37">
        <v>20.100000000000001</v>
      </c>
      <c r="H117" s="75">
        <f t="shared" si="59"/>
        <v>4.1450777202072575E-2</v>
      </c>
      <c r="I117" s="207">
        <f>IF(ISNUMBER(G117), $B118 * H117, "")</f>
        <v>6217.6165803108861</v>
      </c>
      <c r="J117" s="130">
        <v>20</v>
      </c>
      <c r="K117" s="75">
        <f t="shared" si="60"/>
        <v>3.6269430051813434E-2</v>
      </c>
      <c r="L117" s="137">
        <f>IF(ISNUMBER(J117), $B118 * K117, "")</f>
        <v>5440.414507772015</v>
      </c>
      <c r="M117" s="37">
        <v>19.399999999999999</v>
      </c>
      <c r="N117" s="75">
        <f t="shared" si="61"/>
        <v>5.1813471502589565E-3</v>
      </c>
      <c r="O117" s="137">
        <f>IF(ISNUMBER(M117), $B118 * N117, "")</f>
        <v>777.20207253884348</v>
      </c>
      <c r="Q117" s="300"/>
      <c r="R117" s="301"/>
      <c r="S117" s="302"/>
    </row>
    <row r="118" spans="1:19" ht="17.25" thickBot="1">
      <c r="A118" s="131" t="s">
        <v>301</v>
      </c>
      <c r="B118" s="308">
        <f>$B$37</f>
        <v>150000</v>
      </c>
      <c r="C118" s="309"/>
      <c r="D118" s="131" t="s">
        <v>302</v>
      </c>
      <c r="E118" s="215">
        <f>IF(COUNT(E98:E117), SUM(E98:E117) / COUNT(E98:E117), 0)</f>
        <v>2.8084058812542601E-2</v>
      </c>
      <c r="F118" s="208">
        <f>SUM(F98:F117)</f>
        <v>84252.176437627815</v>
      </c>
      <c r="G118" s="131" t="s">
        <v>302</v>
      </c>
      <c r="H118" s="215">
        <f>IF(COUNT(H98:H117), SUM(H98:H117) / COUNT(H98:H117), 0)</f>
        <v>2.1189100294795961E-2</v>
      </c>
      <c r="I118" s="208">
        <f>SUM(I98:I117)</f>
        <v>63567.300884387907</v>
      </c>
      <c r="J118" s="131" t="s">
        <v>302</v>
      </c>
      <c r="K118" s="215">
        <f>IF(COUNT(K98:K117), SUM(K98:K117) / COUNT(K98:K117), 0)</f>
        <v>3.1001742963930445E-2</v>
      </c>
      <c r="L118" s="208">
        <f>SUM(L98:L117)</f>
        <v>93005.228891791325</v>
      </c>
      <c r="M118" s="131" t="s">
        <v>302</v>
      </c>
      <c r="N118" s="215">
        <f>IF(COUNT(N98:N117), SUM(N98:N117) / COUNT(N98:N117), 0)</f>
        <v>-1.3201976429915042E-2</v>
      </c>
      <c r="O118" s="208">
        <f>SUM(O98:O117)</f>
        <v>-39605.929289745131</v>
      </c>
      <c r="Q118" s="303"/>
      <c r="R118" s="304"/>
      <c r="S118" s="305"/>
    </row>
    <row r="120" spans="1:19" ht="17.25" thickBot="1"/>
    <row r="121" spans="1:19" ht="17.25" thickBot="1">
      <c r="A121" s="249" t="s">
        <v>288</v>
      </c>
      <c r="B121" s="250"/>
      <c r="C121" s="250"/>
      <c r="D121" s="250"/>
      <c r="E121" s="250"/>
      <c r="F121" s="250"/>
      <c r="G121" s="250"/>
      <c r="H121" s="250"/>
      <c r="I121" s="250"/>
      <c r="J121" s="250"/>
      <c r="K121" s="250"/>
      <c r="L121" s="250"/>
      <c r="M121" s="250"/>
      <c r="N121" s="250"/>
      <c r="O121" s="251"/>
      <c r="Q121" s="270"/>
      <c r="R121" s="270"/>
      <c r="S121" s="270"/>
    </row>
    <row r="122" spans="1:19" ht="17.25" thickBot="1">
      <c r="A122" s="209" t="s">
        <v>298</v>
      </c>
      <c r="B122" s="249" t="s">
        <v>49</v>
      </c>
      <c r="C122" s="251"/>
      <c r="D122" s="249" t="s">
        <v>58</v>
      </c>
      <c r="E122" s="250"/>
      <c r="F122" s="251"/>
      <c r="G122" s="276">
        <f>_xlfn.IFNA(VLOOKUP(B122, 현재가테이블!$B$2:$D$200, 2, FALSE), "-")</f>
        <v>60874000</v>
      </c>
      <c r="H122" s="277"/>
      <c r="I122" s="278"/>
      <c r="J122" s="249" t="s">
        <v>59</v>
      </c>
      <c r="K122" s="250"/>
      <c r="L122" s="251"/>
      <c r="M122" s="279">
        <f>_xlfn.IFNA(VLOOKUP(B122, 현재가테이블!$B$2:$D$200, 3, FALSE), "-")</f>
        <v>-1.4936000099999999E-2</v>
      </c>
      <c r="N122" s="280"/>
      <c r="O122" s="281"/>
      <c r="Q122" s="270"/>
      <c r="R122" s="270"/>
      <c r="S122" s="270"/>
    </row>
    <row r="123" spans="1:19" ht="17.25" thickBot="1">
      <c r="A123" s="310" t="s">
        <v>55</v>
      </c>
      <c r="B123" s="312" t="str">
        <f>TEXT($G$1, "[$-ko-KR]yyyy-mm-dd(ddd) ") &amp; "오전 00:00"</f>
        <v>2021-05-12(수) 오전 00:00</v>
      </c>
      <c r="C123" s="313"/>
      <c r="D123" s="249" t="str">
        <f>TEXT($G$1, "[$-ko-KR]yyyy-mm-dd(ddd) ") &amp; "오후 14:00"</f>
        <v>2021-05-12(수) 오후 14:00</v>
      </c>
      <c r="E123" s="250"/>
      <c r="F123" s="251"/>
      <c r="G123" s="249" t="str">
        <f>TEXT($G$1, "[$-ko-KR]yyyy-mm-dd(ddd) ") &amp; "오후 19:00"</f>
        <v>2021-05-12(수) 오후 19:00</v>
      </c>
      <c r="H123" s="250"/>
      <c r="I123" s="251"/>
      <c r="J123" s="249" t="str">
        <f>TEXT($G$1, "[$-ko-KR]yyyy-mm-dd(ddd) ") &amp; "오후 21:00"</f>
        <v>2021-05-12(수) 오후 21:00</v>
      </c>
      <c r="K123" s="250"/>
      <c r="L123" s="251"/>
      <c r="M123" s="249" t="str">
        <f>TEXT($G$1+1, "[$-ko-KR]yyyy-mm-dd(ddd) ") &amp; "오전 00:00"</f>
        <v>2021-05-13(목) 오전 00:00</v>
      </c>
      <c r="N123" s="250"/>
      <c r="O123" s="251"/>
      <c r="Q123" s="270"/>
      <c r="R123" s="270"/>
      <c r="S123" s="270"/>
    </row>
    <row r="124" spans="1:19" ht="17.25" thickBot="1">
      <c r="A124" s="311"/>
      <c r="B124" s="120" t="s">
        <v>58</v>
      </c>
      <c r="C124" s="121" t="s">
        <v>59</v>
      </c>
      <c r="D124" s="120" t="s">
        <v>58</v>
      </c>
      <c r="E124" s="121" t="s">
        <v>299</v>
      </c>
      <c r="F124" s="216" t="s">
        <v>300</v>
      </c>
      <c r="G124" s="209" t="s">
        <v>58</v>
      </c>
      <c r="H124" s="210" t="s">
        <v>299</v>
      </c>
      <c r="I124" s="211" t="s">
        <v>300</v>
      </c>
      <c r="J124" s="121" t="s">
        <v>58</v>
      </c>
      <c r="K124" s="121" t="s">
        <v>299</v>
      </c>
      <c r="L124" s="213" t="s">
        <v>300</v>
      </c>
      <c r="M124" s="120" t="s">
        <v>58</v>
      </c>
      <c r="N124" s="121" t="s">
        <v>299</v>
      </c>
      <c r="O124" s="214" t="s">
        <v>300</v>
      </c>
      <c r="Q124" s="275"/>
      <c r="R124" s="275"/>
      <c r="S124" s="275"/>
    </row>
    <row r="125" spans="1:19" ht="17.25" thickBot="1">
      <c r="A125" s="122" t="s">
        <v>236</v>
      </c>
      <c r="B125" s="123">
        <v>99.4</v>
      </c>
      <c r="C125" s="72">
        <v>0.61363636359999996</v>
      </c>
      <c r="D125" s="123">
        <v>92.6</v>
      </c>
      <c r="E125" s="72">
        <f>IF(ISNUMBER(D125), (D125 - $B125) / $B125, "")</f>
        <v>-6.8410462776660075E-2</v>
      </c>
      <c r="F125" s="140">
        <f>IF(ISNUMBER(D125), $B145 * E125, "")</f>
        <v>-10261.569416499011</v>
      </c>
      <c r="G125" s="38">
        <v>91.3</v>
      </c>
      <c r="H125" s="72">
        <f>IF(ISNUMBER(G125), (G125 - $B125) / $B125, "")</f>
        <v>-8.1488933601609734E-2</v>
      </c>
      <c r="I125" s="201">
        <f>IF(ISNUMBER(G125), $B145 * H125, "")</f>
        <v>-12223.340040241461</v>
      </c>
      <c r="J125" s="123">
        <v>90.7</v>
      </c>
      <c r="K125" s="72">
        <f>IF(ISNUMBER(J125), (J125 - $B125) / $B125, "")</f>
        <v>-8.7525150905432614E-2</v>
      </c>
      <c r="L125" s="140">
        <f>IF(ISNUMBER(J125), $B145 * K125, "")</f>
        <v>-13128.772635814892</v>
      </c>
      <c r="M125" s="38">
        <v>83.6</v>
      </c>
      <c r="N125" s="72">
        <f>IF(ISNUMBER(M125), (M125 - $B125) / $B125, "")</f>
        <v>-0.15895372233400412</v>
      </c>
      <c r="O125" s="140">
        <f>IF(ISNUMBER(M125), $B145 * N125, "")</f>
        <v>-23843.058350100619</v>
      </c>
      <c r="Q125" s="270"/>
      <c r="R125" s="270"/>
      <c r="S125" s="270"/>
    </row>
    <row r="126" spans="1:19" ht="17.25" thickBot="1">
      <c r="A126" s="124" t="s">
        <v>214</v>
      </c>
      <c r="B126" s="125">
        <v>22.1</v>
      </c>
      <c r="C126" s="73">
        <v>0.15706806279999999</v>
      </c>
      <c r="D126" s="125">
        <v>22.2</v>
      </c>
      <c r="E126" s="73">
        <f t="shared" ref="E126:E129" si="62">IF(ISNUMBER(D126), (D126 - $B126) / $B126, "")</f>
        <v>4.5248868778279576E-3</v>
      </c>
      <c r="F126" s="136">
        <f>IF(ISNUMBER(D126), $B145 * E126, "")</f>
        <v>678.73303167419363</v>
      </c>
      <c r="G126" s="39">
        <v>23.3</v>
      </c>
      <c r="H126" s="73">
        <f t="shared" ref="H126:H129" si="63">IF(ISNUMBER(G126), (G126 - $B126) / $B126, "")</f>
        <v>5.4298642533936618E-2</v>
      </c>
      <c r="I126" s="202">
        <f>IF(ISNUMBER(G126), $B145 * H126, "")</f>
        <v>8144.7963800904927</v>
      </c>
      <c r="J126" s="125">
        <v>25.9</v>
      </c>
      <c r="K126" s="73">
        <f t="shared" ref="K126:K129" si="64">IF(ISNUMBER(J126), (J126 - $B126) / $B126, "")</f>
        <v>0.17194570135746592</v>
      </c>
      <c r="L126" s="136">
        <f>IF(ISNUMBER(J126), $B145 * K126, "")</f>
        <v>25791.855203619889</v>
      </c>
      <c r="M126" s="39">
        <v>22.4</v>
      </c>
      <c r="N126" s="73">
        <f t="shared" ref="N126:N129" si="65">IF(ISNUMBER(M126), (M126 - $B126) / $B126, "")</f>
        <v>1.3574660633484033E-2</v>
      </c>
      <c r="O126" s="136">
        <f>IF(ISNUMBER(M126), $B145 * N126, "")</f>
        <v>2036.199095022605</v>
      </c>
      <c r="Q126" s="270"/>
      <c r="R126" s="270"/>
      <c r="S126" s="270"/>
    </row>
    <row r="127" spans="1:19" ht="17.25" thickBot="1">
      <c r="A127" s="124" t="s">
        <v>254</v>
      </c>
      <c r="B127" s="125">
        <v>88.5</v>
      </c>
      <c r="C127" s="73">
        <v>0.1538461538</v>
      </c>
      <c r="D127" s="125">
        <v>84.5</v>
      </c>
      <c r="E127" s="73">
        <f t="shared" si="62"/>
        <v>-4.519774011299435E-2</v>
      </c>
      <c r="F127" s="136">
        <f>IF(ISNUMBER(D127), $B145 * E127, "")</f>
        <v>-6779.6610169491523</v>
      </c>
      <c r="G127" s="39">
        <v>85.2</v>
      </c>
      <c r="H127" s="73">
        <f t="shared" si="63"/>
        <v>-3.7288135593220306E-2</v>
      </c>
      <c r="I127" s="202">
        <f>IF(ISNUMBER(G127), $B145 * H127, "")</f>
        <v>-5593.2203389830456</v>
      </c>
      <c r="J127" s="125">
        <v>85.4</v>
      </c>
      <c r="K127" s="73">
        <f t="shared" si="64"/>
        <v>-3.502824858757056E-2</v>
      </c>
      <c r="L127" s="136">
        <f>IF(ISNUMBER(J127), $B145 * K127, "")</f>
        <v>-5254.2372881355841</v>
      </c>
      <c r="M127" s="39">
        <v>82.8</v>
      </c>
      <c r="N127" s="73">
        <f t="shared" si="65"/>
        <v>-6.4406779661016975E-2</v>
      </c>
      <c r="O127" s="136">
        <f>IF(ISNUMBER(M127), $B145 * N127, "")</f>
        <v>-9661.0169491525467</v>
      </c>
      <c r="Q127" s="275"/>
      <c r="R127" s="275"/>
      <c r="S127" s="275"/>
    </row>
    <row r="128" spans="1:19" ht="17.25" thickBot="1">
      <c r="A128" s="124" t="s">
        <v>268</v>
      </c>
      <c r="B128" s="125">
        <v>89.4</v>
      </c>
      <c r="C128" s="73">
        <v>9.9630996299999997E-2</v>
      </c>
      <c r="D128" s="125">
        <v>89.1</v>
      </c>
      <c r="E128" s="73">
        <f t="shared" si="62"/>
        <v>-3.3557046979867042E-3</v>
      </c>
      <c r="F128" s="136">
        <f>IF(ISNUMBER(D128), $B145 * E128, "")</f>
        <v>-503.35570469800564</v>
      </c>
      <c r="G128" s="39">
        <v>90.5</v>
      </c>
      <c r="H128" s="73">
        <f t="shared" si="63"/>
        <v>1.2304250559284052E-2</v>
      </c>
      <c r="I128" s="202">
        <f>IF(ISNUMBER(G128), $B145 * H128, "")</f>
        <v>1845.6375838926078</v>
      </c>
      <c r="J128" s="125">
        <v>91.3</v>
      </c>
      <c r="K128" s="73">
        <f t="shared" si="64"/>
        <v>2.125279642058156E-2</v>
      </c>
      <c r="L128" s="136">
        <f>IF(ISNUMBER(J128), $B145 * K128, "")</f>
        <v>3187.9194630872339</v>
      </c>
      <c r="M128" s="39">
        <v>87.6</v>
      </c>
      <c r="N128" s="73">
        <f t="shared" si="65"/>
        <v>-2.013422818791959E-2</v>
      </c>
      <c r="O128" s="136">
        <f>IF(ISNUMBER(M128), $B145 * N128, "")</f>
        <v>-3020.1342281879383</v>
      </c>
      <c r="Q128" s="275"/>
      <c r="R128" s="275"/>
      <c r="S128" s="275"/>
    </row>
    <row r="129" spans="1:19" ht="17.25" thickBot="1">
      <c r="A129" s="126" t="s">
        <v>126</v>
      </c>
      <c r="B129" s="127">
        <v>57.7</v>
      </c>
      <c r="C129" s="74">
        <v>9.4876660299999999E-2</v>
      </c>
      <c r="D129" s="127">
        <v>56.7</v>
      </c>
      <c r="E129" s="74">
        <f t="shared" si="62"/>
        <v>-1.7331022530329289E-2</v>
      </c>
      <c r="F129" s="203">
        <f>IF(ISNUMBER(D129), $B145 * E129, "")</f>
        <v>-2599.6533795493933</v>
      </c>
      <c r="G129" s="44">
        <v>56.3</v>
      </c>
      <c r="H129" s="74">
        <f t="shared" si="63"/>
        <v>-2.4263431542461102E-2</v>
      </c>
      <c r="I129" s="204">
        <f>IF(ISNUMBER(G129), $B145 * H129, "")</f>
        <v>-3639.5147313691655</v>
      </c>
      <c r="J129" s="127">
        <v>56.3</v>
      </c>
      <c r="K129" s="74">
        <f t="shared" si="64"/>
        <v>-2.4263431542461102E-2</v>
      </c>
      <c r="L129" s="203">
        <f>IF(ISNUMBER(J129), $B145 * K129, "")</f>
        <v>-3639.5147313691655</v>
      </c>
      <c r="M129" s="44">
        <v>54.6</v>
      </c>
      <c r="N129" s="74">
        <f t="shared" si="65"/>
        <v>-5.3726169844020816E-2</v>
      </c>
      <c r="O129" s="203">
        <f>IF(ISNUMBER(M129), $B145 * N129, "")</f>
        <v>-8058.9254766031227</v>
      </c>
      <c r="Q129" s="275"/>
      <c r="R129" s="275"/>
      <c r="S129" s="275"/>
    </row>
    <row r="130" spans="1:19" ht="17.25" thickBot="1">
      <c r="A130" s="124" t="s">
        <v>172</v>
      </c>
      <c r="B130" s="128">
        <v>23.9</v>
      </c>
      <c r="C130" s="76">
        <v>7.6576576600000001E-2</v>
      </c>
      <c r="D130" s="128">
        <v>26.3</v>
      </c>
      <c r="E130" s="76">
        <f>IF(ISNUMBER(D130), (D130 - $B130) / $B130, "")</f>
        <v>0.1004184100418411</v>
      </c>
      <c r="F130" s="205">
        <f>IF(ISNUMBER(D130), $B145 * E130, "")</f>
        <v>15062.761506276165</v>
      </c>
      <c r="G130" s="45">
        <v>25.5</v>
      </c>
      <c r="H130" s="76">
        <f>IF(ISNUMBER(G130), (G130 - $B130) / $B130, "")</f>
        <v>6.6945606694560733E-2</v>
      </c>
      <c r="I130" s="206">
        <f>IF(ISNUMBER(G130), $B145 * H130, "")</f>
        <v>10041.841004184111</v>
      </c>
      <c r="J130" s="128">
        <v>25.8</v>
      </c>
      <c r="K130" s="76">
        <f>IF(ISNUMBER(J130), (J130 - $B130) / $B130, "")</f>
        <v>7.9497907949790891E-2</v>
      </c>
      <c r="L130" s="205">
        <f>IF(ISNUMBER(J130), $B145 * K130, "")</f>
        <v>11924.686192468635</v>
      </c>
      <c r="M130" s="45">
        <v>24.3</v>
      </c>
      <c r="N130" s="76">
        <f>IF(ISNUMBER(M130), (M130 - $B130) / $B130, "")</f>
        <v>1.6736401673640256E-2</v>
      </c>
      <c r="O130" s="205">
        <f>IF(ISNUMBER(M130), $B145 * N130, "")</f>
        <v>2510.4602510460386</v>
      </c>
      <c r="Q130" s="275"/>
      <c r="R130" s="275"/>
      <c r="S130" s="275"/>
    </row>
    <row r="131" spans="1:19" ht="17.25" thickBot="1">
      <c r="A131" s="124" t="s">
        <v>218</v>
      </c>
      <c r="B131" s="125">
        <v>26.8</v>
      </c>
      <c r="C131" s="73">
        <v>7.1999999999999995E-2</v>
      </c>
      <c r="D131" s="125">
        <v>27.7</v>
      </c>
      <c r="E131" s="73">
        <f t="shared" ref="E131:E134" si="66">IF(ISNUMBER(D131), (D131 - $B131) / $B131, "")</f>
        <v>3.358208955223875E-2</v>
      </c>
      <c r="F131" s="136">
        <f>IF(ISNUMBER(D131), $B145 * E131, "")</f>
        <v>5037.3134328358128</v>
      </c>
      <c r="G131" s="39">
        <v>27.5</v>
      </c>
      <c r="H131" s="73">
        <f t="shared" ref="H131:H134" si="67">IF(ISNUMBER(G131), (G131 - $B131) / $B131, "")</f>
        <v>2.6119402985074598E-2</v>
      </c>
      <c r="I131" s="202">
        <f>IF(ISNUMBER(G131), $B145 * H131, "")</f>
        <v>3917.9104477611895</v>
      </c>
      <c r="J131" s="125">
        <v>27.8</v>
      </c>
      <c r="K131" s="73">
        <f t="shared" ref="K131:K134" si="68">IF(ISNUMBER(J131), (J131 - $B131) / $B131, "")</f>
        <v>3.7313432835820892E-2</v>
      </c>
      <c r="L131" s="136">
        <f>IF(ISNUMBER(J131), $B145 * K131, "")</f>
        <v>5597.0149253731342</v>
      </c>
      <c r="M131" s="39">
        <v>26.7</v>
      </c>
      <c r="N131" s="73">
        <f t="shared" ref="N131:N134" si="69">IF(ISNUMBER(M131), (M131 - $B131) / $B131, "")</f>
        <v>-3.7313432835821424E-3</v>
      </c>
      <c r="O131" s="136">
        <f>IF(ISNUMBER(M131), $B145 * N131, "")</f>
        <v>-559.70149253732131</v>
      </c>
      <c r="Q131" s="275"/>
      <c r="R131" s="275"/>
      <c r="S131" s="275"/>
    </row>
    <row r="132" spans="1:19" ht="17.25" thickBot="1">
      <c r="A132" s="124" t="s">
        <v>222</v>
      </c>
      <c r="B132" s="125">
        <v>18.100000000000001</v>
      </c>
      <c r="C132" s="73">
        <v>6.4705882399999998E-2</v>
      </c>
      <c r="D132" s="125">
        <v>18.899999999999999</v>
      </c>
      <c r="E132" s="73">
        <f t="shared" si="66"/>
        <v>4.4198895027624148E-2</v>
      </c>
      <c r="F132" s="136">
        <f>IF(ISNUMBER(D132), $B145 * E132, "")</f>
        <v>6629.8342541436223</v>
      </c>
      <c r="G132" s="39">
        <v>18.600000000000001</v>
      </c>
      <c r="H132" s="73">
        <f t="shared" si="67"/>
        <v>2.7624309392265192E-2</v>
      </c>
      <c r="I132" s="202">
        <f>IF(ISNUMBER(G132), $B145 * H132, "")</f>
        <v>4143.6464088397788</v>
      </c>
      <c r="J132" s="125">
        <v>19</v>
      </c>
      <c r="K132" s="73">
        <f t="shared" si="68"/>
        <v>4.9723756906077263E-2</v>
      </c>
      <c r="L132" s="136">
        <f>IF(ISNUMBER(J132), $B145 * K132, "")</f>
        <v>7458.5635359115895</v>
      </c>
      <c r="M132" s="39">
        <v>18.100000000000001</v>
      </c>
      <c r="N132" s="73">
        <f t="shared" si="69"/>
        <v>0</v>
      </c>
      <c r="O132" s="136">
        <f>IF(ISNUMBER(M132), $B145 * N132, "")</f>
        <v>0</v>
      </c>
      <c r="Q132" s="275"/>
      <c r="R132" s="275"/>
      <c r="S132" s="275"/>
    </row>
    <row r="133" spans="1:19" ht="17.25" thickBot="1">
      <c r="A133" s="124" t="s">
        <v>186</v>
      </c>
      <c r="B133" s="125">
        <v>23.8</v>
      </c>
      <c r="C133" s="73">
        <v>5.7777777799999999E-2</v>
      </c>
      <c r="D133" s="125">
        <v>24.8</v>
      </c>
      <c r="E133" s="73">
        <f t="shared" si="66"/>
        <v>4.2016806722689072E-2</v>
      </c>
      <c r="F133" s="136">
        <f>IF(ISNUMBER(D133), $B145 * E133, "")</f>
        <v>6302.5210084033606</v>
      </c>
      <c r="G133" s="39">
        <v>24.9</v>
      </c>
      <c r="H133" s="73">
        <f t="shared" si="67"/>
        <v>4.6218487394957895E-2</v>
      </c>
      <c r="I133" s="202">
        <f>IF(ISNUMBER(G133), $B145 * H133, "")</f>
        <v>6932.7731092436843</v>
      </c>
      <c r="J133" s="125">
        <v>25.1</v>
      </c>
      <c r="K133" s="73">
        <f t="shared" si="68"/>
        <v>5.4621848739495826E-2</v>
      </c>
      <c r="L133" s="136">
        <f>IF(ISNUMBER(J133), $B145 * K133, "")</f>
        <v>8193.2773109243735</v>
      </c>
      <c r="M133" s="39">
        <v>23.8</v>
      </c>
      <c r="N133" s="73">
        <f t="shared" si="69"/>
        <v>0</v>
      </c>
      <c r="O133" s="136">
        <f>IF(ISNUMBER(M133), $B145 * N133, "")</f>
        <v>0</v>
      </c>
      <c r="Q133" s="33"/>
      <c r="R133" s="33"/>
    </row>
    <row r="134" spans="1:19" ht="17.25" thickBot="1">
      <c r="A134" s="129" t="s">
        <v>196</v>
      </c>
      <c r="B134" s="130">
        <v>19.3</v>
      </c>
      <c r="C134" s="75">
        <v>5.4644808699999999E-2</v>
      </c>
      <c r="D134" s="130">
        <v>20.100000000000001</v>
      </c>
      <c r="E134" s="75">
        <f t="shared" si="66"/>
        <v>4.1450777202072575E-2</v>
      </c>
      <c r="F134" s="137">
        <f>IF(ISNUMBER(D134), $B145 * E134, "")</f>
        <v>6217.6165803108861</v>
      </c>
      <c r="G134" s="37">
        <v>20.100000000000001</v>
      </c>
      <c r="H134" s="75">
        <f t="shared" si="67"/>
        <v>4.1450777202072575E-2</v>
      </c>
      <c r="I134" s="207">
        <f>IF(ISNUMBER(G134), $B145 * H134, "")</f>
        <v>6217.6165803108861</v>
      </c>
      <c r="J134" s="130">
        <v>20</v>
      </c>
      <c r="K134" s="75">
        <f t="shared" si="68"/>
        <v>3.6269430051813434E-2</v>
      </c>
      <c r="L134" s="137">
        <f>IF(ISNUMBER(J134), $B145 * K134, "")</f>
        <v>5440.414507772015</v>
      </c>
      <c r="M134" s="37">
        <v>19.399999999999999</v>
      </c>
      <c r="N134" s="75">
        <f t="shared" si="69"/>
        <v>5.1813471502589565E-3</v>
      </c>
      <c r="O134" s="137">
        <f>IF(ISNUMBER(M134), $B145 * N134, "")</f>
        <v>777.20207253884348</v>
      </c>
      <c r="Q134" s="284"/>
      <c r="R134" s="285"/>
      <c r="S134" s="286"/>
    </row>
    <row r="135" spans="1:19">
      <c r="A135" s="122" t="s">
        <v>228</v>
      </c>
      <c r="B135" s="123">
        <v>18</v>
      </c>
      <c r="C135" s="72">
        <v>5.2631578900000003E-2</v>
      </c>
      <c r="D135" s="123">
        <v>18.3</v>
      </c>
      <c r="E135" s="72">
        <f>IF(ISNUMBER(D135), (D135 - $B135) / $B135, "")</f>
        <v>1.6666666666666705E-2</v>
      </c>
      <c r="F135" s="140">
        <f>IF(ISNUMBER(D135), $B145 * E135, "")</f>
        <v>2500.0000000000059</v>
      </c>
      <c r="G135" s="38">
        <v>18.399999999999999</v>
      </c>
      <c r="H135" s="72">
        <f>IF(ISNUMBER(G135), (G135 - $B135) / $B135, "")</f>
        <v>2.2222222222222143E-2</v>
      </c>
      <c r="I135" s="201">
        <f>IF(ISNUMBER(G135), $B145 * H135, "")</f>
        <v>3333.3333333333217</v>
      </c>
      <c r="J135" s="123">
        <v>18.600000000000001</v>
      </c>
      <c r="K135" s="72">
        <f>IF(ISNUMBER(J135), (J135 - $B135) / $B135, "")</f>
        <v>3.3333333333333409E-2</v>
      </c>
      <c r="L135" s="140">
        <f>IF(ISNUMBER(J135), $B145 * K135, "")</f>
        <v>5000.0000000000118</v>
      </c>
      <c r="M135" s="38">
        <v>18.100000000000001</v>
      </c>
      <c r="N135" s="72">
        <f>IF(ISNUMBER(M135), (M135 - $B135) / $B135, "")</f>
        <v>5.5555555555556347E-3</v>
      </c>
      <c r="O135" s="140">
        <f>IF(ISNUMBER(M135), $B145 * N135, "")</f>
        <v>833.33333333334519</v>
      </c>
      <c r="Q135" s="287"/>
      <c r="R135" s="288"/>
      <c r="S135" s="289"/>
    </row>
    <row r="136" spans="1:19" ht="17.25" thickBot="1">
      <c r="A136" s="124" t="s">
        <v>198</v>
      </c>
      <c r="B136" s="125">
        <v>26.3</v>
      </c>
      <c r="C136" s="73">
        <v>5.1999999999999998E-2</v>
      </c>
      <c r="D136" s="125">
        <v>28.8</v>
      </c>
      <c r="E136" s="73">
        <f t="shared" ref="E136:E139" si="70">IF(ISNUMBER(D136), (D136 - $B136) / $B136, "")</f>
        <v>9.5057034220532313E-2</v>
      </c>
      <c r="F136" s="136">
        <f>IF(ISNUMBER(D136), $B145 * E136, "")</f>
        <v>14258.555133079846</v>
      </c>
      <c r="G136" s="39">
        <v>27.9</v>
      </c>
      <c r="H136" s="73">
        <f t="shared" ref="H136:H139" si="71">IF(ISNUMBER(G136), (G136 - $B136) / $B136, "")</f>
        <v>6.0836501901140601E-2</v>
      </c>
      <c r="I136" s="202">
        <f>IF(ISNUMBER(G136), $B145 * H136, "")</f>
        <v>9125.4752851710909</v>
      </c>
      <c r="J136" s="125">
        <v>27.8</v>
      </c>
      <c r="K136" s="73">
        <f t="shared" ref="K136:K139" si="72">IF(ISNUMBER(J136), (J136 - $B136) / $B136, "")</f>
        <v>5.7034220532319393E-2</v>
      </c>
      <c r="L136" s="136">
        <f>IF(ISNUMBER(J136), $B145 * K136, "")</f>
        <v>8555.1330798479084</v>
      </c>
      <c r="M136" s="39">
        <v>28</v>
      </c>
      <c r="N136" s="73">
        <f t="shared" ref="N136:N139" si="73">IF(ISNUMBER(M136), (M136 - $B136) / $B136, "")</f>
        <v>6.4638783269961947E-2</v>
      </c>
      <c r="O136" s="136">
        <f>IF(ISNUMBER(M136), $B145 * N136, "")</f>
        <v>9695.8174904942916</v>
      </c>
      <c r="Q136" s="290"/>
      <c r="R136" s="291"/>
      <c r="S136" s="292"/>
    </row>
    <row r="137" spans="1:19" ht="17.25" thickBot="1">
      <c r="A137" s="124" t="s">
        <v>154</v>
      </c>
      <c r="B137" s="125">
        <v>20</v>
      </c>
      <c r="C137" s="73">
        <v>4.16666667E-2</v>
      </c>
      <c r="D137" s="125">
        <v>21</v>
      </c>
      <c r="E137" s="73">
        <f t="shared" si="70"/>
        <v>0.05</v>
      </c>
      <c r="F137" s="136">
        <f>IF(ISNUMBER(D137), $B145 * E137, "")</f>
        <v>7500</v>
      </c>
      <c r="G137" s="39">
        <v>20.5</v>
      </c>
      <c r="H137" s="73">
        <f t="shared" si="71"/>
        <v>2.5000000000000001E-2</v>
      </c>
      <c r="I137" s="202">
        <f>IF(ISNUMBER(G137), $B145 * H137, "")</f>
        <v>3750</v>
      </c>
      <c r="J137" s="125">
        <v>21</v>
      </c>
      <c r="K137" s="73">
        <f t="shared" si="72"/>
        <v>0.05</v>
      </c>
      <c r="L137" s="136">
        <f>IF(ISNUMBER(J137), $B145 * K137, "")</f>
        <v>7500</v>
      </c>
      <c r="M137" s="39">
        <v>20.100000000000001</v>
      </c>
      <c r="N137" s="73">
        <f t="shared" si="73"/>
        <v>5.0000000000000712E-3</v>
      </c>
      <c r="O137" s="136">
        <f>IF(ISNUMBER(M137), $B145 * N137, "")</f>
        <v>750.00000000001069</v>
      </c>
      <c r="Q137" s="275"/>
      <c r="R137" s="275"/>
      <c r="S137" s="275"/>
    </row>
    <row r="138" spans="1:19" ht="17.25" thickBot="1">
      <c r="A138" s="124" t="s">
        <v>266</v>
      </c>
      <c r="B138" s="125">
        <v>92.3</v>
      </c>
      <c r="C138" s="73">
        <v>2.89855072E-2</v>
      </c>
      <c r="D138" s="125">
        <v>94.1</v>
      </c>
      <c r="E138" s="73">
        <f t="shared" si="70"/>
        <v>1.950162513542792E-2</v>
      </c>
      <c r="F138" s="136">
        <f>IF(ISNUMBER(D138), $B145 * E138, "")</f>
        <v>2925.2437703141882</v>
      </c>
      <c r="G138" s="39">
        <v>94.2</v>
      </c>
      <c r="H138" s="73">
        <f t="shared" si="71"/>
        <v>2.0585048754062901E-2</v>
      </c>
      <c r="I138" s="202">
        <f>IF(ISNUMBER(G138), $B145 * H138, "")</f>
        <v>3087.757313109435</v>
      </c>
      <c r="J138" s="125">
        <v>95.1</v>
      </c>
      <c r="K138" s="73">
        <f t="shared" si="72"/>
        <v>3.0335861321776784E-2</v>
      </c>
      <c r="L138" s="136">
        <f>IF(ISNUMBER(J138), $B145 * K138, "")</f>
        <v>4550.379198266518</v>
      </c>
      <c r="M138" s="39">
        <v>90.1</v>
      </c>
      <c r="N138" s="73">
        <f t="shared" si="73"/>
        <v>-2.3835319609967529E-2</v>
      </c>
      <c r="O138" s="136">
        <f>IF(ISNUMBER(M138), $B145 * N138, "")</f>
        <v>-3575.2979414951292</v>
      </c>
      <c r="Q138" s="270"/>
      <c r="R138" s="270"/>
      <c r="S138" s="270"/>
    </row>
    <row r="139" spans="1:19" ht="17.25" thickBot="1">
      <c r="A139" s="126" t="s">
        <v>220</v>
      </c>
      <c r="B139" s="127">
        <v>18.899999999999999</v>
      </c>
      <c r="C139" s="74">
        <v>2.7173913000000001E-2</v>
      </c>
      <c r="D139" s="127">
        <v>19.600000000000001</v>
      </c>
      <c r="E139" s="74">
        <f t="shared" si="70"/>
        <v>3.7037037037037188E-2</v>
      </c>
      <c r="F139" s="203">
        <f>IF(ISNUMBER(D139), $B145 * E139, "")</f>
        <v>5555.5555555555784</v>
      </c>
      <c r="G139" s="44">
        <v>19.399999999999999</v>
      </c>
      <c r="H139" s="74">
        <f t="shared" si="71"/>
        <v>2.6455026455026457E-2</v>
      </c>
      <c r="I139" s="204">
        <f>IF(ISNUMBER(G139), $B145 * H139, "")</f>
        <v>3968.2539682539687</v>
      </c>
      <c r="J139" s="127">
        <v>19.7</v>
      </c>
      <c r="K139" s="74">
        <f t="shared" si="72"/>
        <v>4.2328042328042367E-2</v>
      </c>
      <c r="L139" s="203">
        <f>IF(ISNUMBER(J139), $B145 * K139, "")</f>
        <v>6349.2063492063553</v>
      </c>
      <c r="M139" s="44">
        <v>18.5</v>
      </c>
      <c r="N139" s="74">
        <f t="shared" si="73"/>
        <v>-2.116402116402109E-2</v>
      </c>
      <c r="O139" s="203">
        <f>IF(ISNUMBER(M139), $B145 * N139, "")</f>
        <v>-3174.6031746031636</v>
      </c>
      <c r="Q139" s="270"/>
      <c r="R139" s="270"/>
      <c r="S139" s="270"/>
    </row>
    <row r="140" spans="1:19" ht="17.25" thickBot="1">
      <c r="A140" s="124" t="s">
        <v>152</v>
      </c>
      <c r="B140" s="128">
        <v>44.9</v>
      </c>
      <c r="C140" s="76">
        <v>2.51141553E-2</v>
      </c>
      <c r="D140" s="128">
        <v>46</v>
      </c>
      <c r="E140" s="76">
        <f>IF(ISNUMBER(D140), (D140 - $B140) / $B140, "")</f>
        <v>2.4498886414253931E-2</v>
      </c>
      <c r="F140" s="205">
        <f>IF(ISNUMBER(D140), $B145 * E140, "")</f>
        <v>3674.8329621380894</v>
      </c>
      <c r="G140" s="45">
        <v>45</v>
      </c>
      <c r="H140" s="76">
        <f>IF(ISNUMBER(G140), (G140 - $B140) / $B140, "")</f>
        <v>2.2271714922049313E-3</v>
      </c>
      <c r="I140" s="206">
        <f>IF(ISNUMBER(G140), $B145 * H140, "")</f>
        <v>334.07572383073972</v>
      </c>
      <c r="J140" s="128">
        <v>45.1</v>
      </c>
      <c r="K140" s="76">
        <f>IF(ISNUMBER(J140), (J140 - $B140) / $B140, "")</f>
        <v>4.4543429844098627E-3</v>
      </c>
      <c r="L140" s="205">
        <f>IF(ISNUMBER(J140), $B145 * K140, "")</f>
        <v>668.15144766147944</v>
      </c>
      <c r="M140" s="45">
        <v>44.1</v>
      </c>
      <c r="N140" s="76">
        <f>IF(ISNUMBER(M140), (M140 - $B140) / $B140, "")</f>
        <v>-1.7817371937639135E-2</v>
      </c>
      <c r="O140" s="205">
        <f>IF(ISNUMBER(M140), $B145 * N140, "")</f>
        <v>-2672.6057906458705</v>
      </c>
      <c r="Q140" s="275"/>
      <c r="R140" s="275"/>
      <c r="S140" s="275"/>
    </row>
    <row r="141" spans="1:19" ht="17.25" thickBot="1">
      <c r="A141" s="124" t="s">
        <v>100</v>
      </c>
      <c r="B141" s="125">
        <v>8.2899999999999991</v>
      </c>
      <c r="C141" s="73">
        <v>1.8427518399999999E-2</v>
      </c>
      <c r="D141" s="125">
        <v>8.39</v>
      </c>
      <c r="E141" s="73">
        <f t="shared" ref="E141:E144" si="74">IF(ISNUMBER(D141), (D141 - $B141) / $B141, "")</f>
        <v>1.2062726176115975E-2</v>
      </c>
      <c r="F141" s="136">
        <f>IF(ISNUMBER(D141), $B145 * E141, "")</f>
        <v>1809.4089264173963</v>
      </c>
      <c r="G141" s="39">
        <v>8.25</v>
      </c>
      <c r="H141" s="73">
        <f t="shared" ref="H141:H144" si="75">IF(ISNUMBER(G141), (G141 - $B141) / $B141, "")</f>
        <v>-4.8250904704462182E-3</v>
      </c>
      <c r="I141" s="202">
        <f>IF(ISNUMBER(G141), $B145 * H141, "")</f>
        <v>-723.76357056693269</v>
      </c>
      <c r="J141" s="125">
        <v>8.24</v>
      </c>
      <c r="K141" s="73">
        <f t="shared" ref="K141:K144" si="76">IF(ISNUMBER(J141), (J141 - $B141) / $B141, "")</f>
        <v>-6.0313630880577734E-3</v>
      </c>
      <c r="L141" s="136">
        <f>IF(ISNUMBER(J141), $B145 * K141, "")</f>
        <v>-904.70446320866597</v>
      </c>
      <c r="M141" s="39">
        <v>8.1199999999999992</v>
      </c>
      <c r="N141" s="73">
        <f t="shared" ref="N141:N144" si="77">IF(ISNUMBER(M141), (M141 - $B141) / $B141, "")</f>
        <v>-2.0506634499396856E-2</v>
      </c>
      <c r="O141" s="136">
        <f>IF(ISNUMBER(M141), $B145 * N141, "")</f>
        <v>-3075.9951749095285</v>
      </c>
      <c r="Q141" s="275"/>
      <c r="R141" s="275"/>
      <c r="S141" s="275"/>
    </row>
    <row r="142" spans="1:19" ht="17.25" thickBot="1">
      <c r="A142" s="124" t="s">
        <v>65</v>
      </c>
      <c r="B142" s="125">
        <v>71.3</v>
      </c>
      <c r="C142" s="73">
        <v>1.5669515700000001E-2</v>
      </c>
      <c r="D142" s="125">
        <v>72.3</v>
      </c>
      <c r="E142" s="73">
        <f t="shared" si="74"/>
        <v>1.4025245441795233E-2</v>
      </c>
      <c r="F142" s="136">
        <f>IF(ISNUMBER(D142), $B145 * E142, "")</f>
        <v>2103.7868162692848</v>
      </c>
      <c r="G142" s="39">
        <v>70.5</v>
      </c>
      <c r="H142" s="73">
        <f t="shared" si="75"/>
        <v>-1.1220196353436145E-2</v>
      </c>
      <c r="I142" s="202">
        <f>IF(ISNUMBER(G142), $B145 * H142, "")</f>
        <v>-1683.0294530154217</v>
      </c>
      <c r="J142" s="125">
        <v>70.8</v>
      </c>
      <c r="K142" s="73">
        <f t="shared" si="76"/>
        <v>-7.0126227208976164E-3</v>
      </c>
      <c r="L142" s="136">
        <f>IF(ISNUMBER(J142), $B145 * K142, "")</f>
        <v>-1051.8934081346424</v>
      </c>
      <c r="M142" s="39">
        <v>69.8</v>
      </c>
      <c r="N142" s="73">
        <f t="shared" si="77"/>
        <v>-2.1037868162692847E-2</v>
      </c>
      <c r="O142" s="136">
        <f>IF(ISNUMBER(M142), $B145 * N142, "")</f>
        <v>-3155.6802244039268</v>
      </c>
      <c r="Q142" s="275"/>
      <c r="R142" s="275"/>
      <c r="S142" s="275"/>
    </row>
    <row r="143" spans="1:19">
      <c r="A143" s="124" t="s">
        <v>72</v>
      </c>
      <c r="B143" s="125">
        <v>35.9</v>
      </c>
      <c r="C143" s="73">
        <v>1.41242938E-2</v>
      </c>
      <c r="D143" s="125">
        <v>37.1</v>
      </c>
      <c r="E143" s="73">
        <f t="shared" si="74"/>
        <v>3.342618384401122E-2</v>
      </c>
      <c r="F143" s="136">
        <f>IF(ISNUMBER(D143), $B145 * E143, "")</f>
        <v>5013.9275766016826</v>
      </c>
      <c r="G143" s="39">
        <v>36.9</v>
      </c>
      <c r="H143" s="73">
        <f t="shared" si="75"/>
        <v>2.7855153203342621E-2</v>
      </c>
      <c r="I143" s="202">
        <f>IF(ISNUMBER(G143), $B145 * H143, "")</f>
        <v>4178.2729805013932</v>
      </c>
      <c r="J143" s="125">
        <v>36.700000000000003</v>
      </c>
      <c r="K143" s="73">
        <f t="shared" si="76"/>
        <v>2.2284122562674213E-2</v>
      </c>
      <c r="L143" s="136">
        <f>IF(ISNUMBER(J143), $B145 * K143, "")</f>
        <v>3342.6183844011321</v>
      </c>
      <c r="M143" s="39">
        <v>36.4</v>
      </c>
      <c r="N143" s="73">
        <f t="shared" si="77"/>
        <v>1.3927576601671311E-2</v>
      </c>
      <c r="O143" s="136">
        <f>IF(ISNUMBER(M143), $B145 * N143, "")</f>
        <v>2089.1364902506966</v>
      </c>
      <c r="Q143" s="297"/>
      <c r="R143" s="298"/>
      <c r="S143" s="299"/>
    </row>
    <row r="144" spans="1:19" ht="17.25" thickBot="1">
      <c r="A144" s="129"/>
      <c r="B144" s="130"/>
      <c r="C144" s="75"/>
      <c r="D144" s="130" t="s">
        <v>297</v>
      </c>
      <c r="E144" s="75" t="str">
        <f t="shared" si="74"/>
        <v/>
      </c>
      <c r="F144" s="137" t="str">
        <f>IF(ISNUMBER(D144), $B145 * E144, "")</f>
        <v/>
      </c>
      <c r="G144" s="37" t="s">
        <v>297</v>
      </c>
      <c r="H144" s="75" t="str">
        <f t="shared" si="75"/>
        <v/>
      </c>
      <c r="I144" s="207" t="str">
        <f>IF(ISNUMBER(G144), $B145 * H144, "")</f>
        <v/>
      </c>
      <c r="J144" s="130" t="s">
        <v>297</v>
      </c>
      <c r="K144" s="75" t="str">
        <f t="shared" si="76"/>
        <v/>
      </c>
      <c r="L144" s="137" t="str">
        <f>IF(ISNUMBER(J144), $B145 * K144, "")</f>
        <v/>
      </c>
      <c r="M144" s="37" t="s">
        <v>297</v>
      </c>
      <c r="N144" s="75" t="str">
        <f t="shared" si="77"/>
        <v/>
      </c>
      <c r="O144" s="137" t="str">
        <f>IF(ISNUMBER(M144), $B145 * N144, "")</f>
        <v/>
      </c>
      <c r="Q144" s="300"/>
      <c r="R144" s="301"/>
      <c r="S144" s="302"/>
    </row>
    <row r="145" spans="1:19" ht="17.25" thickBot="1">
      <c r="A145" s="131" t="s">
        <v>301</v>
      </c>
      <c r="B145" s="308">
        <f>$B$37</f>
        <v>150000</v>
      </c>
      <c r="C145" s="309"/>
      <c r="D145" s="131" t="s">
        <v>302</v>
      </c>
      <c r="E145" s="215">
        <f>IF(COUNT(E125:E144), SUM(E125:E144) / COUNT(E125:E144), 0)</f>
        <v>2.285117580221914E-2</v>
      </c>
      <c r="F145" s="208">
        <f>SUM(F125:F144)</f>
        <v>65125.851036324551</v>
      </c>
      <c r="G145" s="131" t="s">
        <v>302</v>
      </c>
      <c r="H145" s="215">
        <f>IF(COUNT(H125:H144), SUM(H125:H144) / COUNT(H125:H144), 0)</f>
        <v>1.5845095433104094E-2</v>
      </c>
      <c r="I145" s="208">
        <f>SUM(I125:I144)</f>
        <v>45158.521984346677</v>
      </c>
      <c r="J145" s="131" t="s">
        <v>302</v>
      </c>
      <c r="K145" s="215">
        <f>IF(COUNT(K125:K144), SUM(K125:K144) / COUNT(K125:K144), 0)</f>
        <v>2.7922841077851691E-2</v>
      </c>
      <c r="L145" s="208">
        <f>SUM(L125:L144)</f>
        <v>79580.097071877331</v>
      </c>
      <c r="M145" s="131" t="s">
        <v>302</v>
      </c>
      <c r="N145" s="215">
        <f>IF(COUNT(N125:N144), SUM(N125:N144) / COUNT(N125:N144), 0)</f>
        <v>-1.4773638621036252E-2</v>
      </c>
      <c r="O145" s="208">
        <f>SUM(O125:O144)</f>
        <v>-42104.870069953344</v>
      </c>
      <c r="Q145" s="303"/>
      <c r="R145" s="304"/>
      <c r="S145" s="305"/>
    </row>
    <row r="147" spans="1:19" ht="17.25" thickBot="1"/>
    <row r="148" spans="1:19" ht="17.25" thickBot="1">
      <c r="A148" s="249" t="s">
        <v>289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1"/>
      <c r="Q148" s="270"/>
      <c r="R148" s="270"/>
      <c r="S148" s="270"/>
    </row>
    <row r="149" spans="1:19" ht="17.25" thickBot="1">
      <c r="A149" s="209" t="s">
        <v>298</v>
      </c>
      <c r="B149" s="249" t="s">
        <v>49</v>
      </c>
      <c r="C149" s="251"/>
      <c r="D149" s="249" t="s">
        <v>58</v>
      </c>
      <c r="E149" s="250"/>
      <c r="F149" s="251"/>
      <c r="G149" s="276">
        <f>_xlfn.IFNA(VLOOKUP(B149, 현재가테이블!$B$2:$D$200, 2, FALSE), "-")</f>
        <v>60874000</v>
      </c>
      <c r="H149" s="277"/>
      <c r="I149" s="278"/>
      <c r="J149" s="249" t="s">
        <v>59</v>
      </c>
      <c r="K149" s="250"/>
      <c r="L149" s="251"/>
      <c r="M149" s="279">
        <f>_xlfn.IFNA(VLOOKUP(B149, 현재가테이블!$B$2:$D$200, 3, FALSE), "-")</f>
        <v>-1.4936000099999999E-2</v>
      </c>
      <c r="N149" s="280"/>
      <c r="O149" s="281"/>
      <c r="Q149" s="270"/>
      <c r="R149" s="270"/>
      <c r="S149" s="270"/>
    </row>
    <row r="150" spans="1:19" ht="17.25" thickBot="1">
      <c r="A150" s="310" t="s">
        <v>55</v>
      </c>
      <c r="B150" s="312" t="str">
        <f>TEXT($G$1, "[$-ko-KR]yyyy-mm-dd(ddd) ") &amp; "오전 00:00"</f>
        <v>2021-05-12(수) 오전 00:00</v>
      </c>
      <c r="C150" s="313"/>
      <c r="D150" s="249" t="str">
        <f>TEXT($G$1, "[$-ko-KR]yyyy-mm-dd(ddd) ") &amp; "오후 14:00"</f>
        <v>2021-05-12(수) 오후 14:00</v>
      </c>
      <c r="E150" s="250"/>
      <c r="F150" s="251"/>
      <c r="G150" s="249" t="str">
        <f>TEXT($G$1, "[$-ko-KR]yyyy-mm-dd(ddd) ") &amp; "오후 19:00"</f>
        <v>2021-05-12(수) 오후 19:00</v>
      </c>
      <c r="H150" s="250"/>
      <c r="I150" s="251"/>
      <c r="J150" s="249" t="str">
        <f>TEXT($G$1, "[$-ko-KR]yyyy-mm-dd(ddd) ") &amp; "오후 21:00"</f>
        <v>2021-05-12(수) 오후 21:00</v>
      </c>
      <c r="K150" s="250"/>
      <c r="L150" s="251"/>
      <c r="M150" s="249" t="str">
        <f>TEXT($G$1+1, "[$-ko-KR]yyyy-mm-dd(ddd) ") &amp; "오전 00:00"</f>
        <v>2021-05-13(목) 오전 00:00</v>
      </c>
      <c r="N150" s="250"/>
      <c r="O150" s="251"/>
      <c r="Q150" s="270"/>
      <c r="R150" s="270"/>
      <c r="S150" s="270"/>
    </row>
    <row r="151" spans="1:19" ht="17.25" thickBot="1">
      <c r="A151" s="311"/>
      <c r="B151" s="120" t="s">
        <v>58</v>
      </c>
      <c r="C151" s="121" t="s">
        <v>59</v>
      </c>
      <c r="D151" s="120" t="s">
        <v>58</v>
      </c>
      <c r="E151" s="121" t="s">
        <v>299</v>
      </c>
      <c r="F151" s="216" t="s">
        <v>300</v>
      </c>
      <c r="G151" s="209" t="s">
        <v>58</v>
      </c>
      <c r="H151" s="210" t="s">
        <v>299</v>
      </c>
      <c r="I151" s="211" t="s">
        <v>300</v>
      </c>
      <c r="J151" s="121" t="s">
        <v>58</v>
      </c>
      <c r="K151" s="121" t="s">
        <v>299</v>
      </c>
      <c r="L151" s="213" t="s">
        <v>300</v>
      </c>
      <c r="M151" s="120" t="s">
        <v>58</v>
      </c>
      <c r="N151" s="121" t="s">
        <v>299</v>
      </c>
      <c r="O151" s="214" t="s">
        <v>300</v>
      </c>
      <c r="Q151" s="275"/>
      <c r="R151" s="275"/>
      <c r="S151" s="275"/>
    </row>
    <row r="152" spans="1:19" ht="17.25" thickBot="1">
      <c r="A152" s="122" t="s">
        <v>256</v>
      </c>
      <c r="B152" s="123">
        <v>236</v>
      </c>
      <c r="C152" s="72">
        <v>1.7241379300000002E-2</v>
      </c>
      <c r="D152" s="123">
        <v>253</v>
      </c>
      <c r="E152" s="72">
        <f>IF(ISNUMBER(D152), (D152 - $B152) / $B152, "")</f>
        <v>7.2033898305084748E-2</v>
      </c>
      <c r="F152" s="140">
        <f>IF(ISNUMBER(D152), $B172 * E152, "")</f>
        <v>10805.084745762711</v>
      </c>
      <c r="G152" s="38">
        <v>251</v>
      </c>
      <c r="H152" s="72">
        <f>IF(ISNUMBER(G152), (G152 - $B152) / $B152, "")</f>
        <v>6.3559322033898302E-2</v>
      </c>
      <c r="I152" s="201">
        <f>IF(ISNUMBER(G152), $B172 * H152, "")</f>
        <v>9533.8983050847455</v>
      </c>
      <c r="J152" s="123">
        <v>251</v>
      </c>
      <c r="K152" s="72">
        <f>IF(ISNUMBER(J152), (J152 - $B152) / $B152, "")</f>
        <v>6.3559322033898302E-2</v>
      </c>
      <c r="L152" s="140">
        <f>IF(ISNUMBER(J152), $B172 * K152, "")</f>
        <v>9533.8983050847455</v>
      </c>
      <c r="M152" s="38">
        <v>247</v>
      </c>
      <c r="N152" s="72">
        <f>IF(ISNUMBER(M152), (M152 - $B152) / $B152, "")</f>
        <v>4.6610169491525424E-2</v>
      </c>
      <c r="O152" s="140">
        <f>IF(ISNUMBER(M152), $B172 * N152, "")</f>
        <v>6991.5254237288136</v>
      </c>
      <c r="Q152" s="270"/>
      <c r="R152" s="270"/>
      <c r="S152" s="270"/>
    </row>
    <row r="153" spans="1:19" ht="17.25" thickBot="1">
      <c r="A153" s="124" t="s">
        <v>54</v>
      </c>
      <c r="B153" s="125">
        <v>341</v>
      </c>
      <c r="C153" s="73">
        <v>1.48809524E-2</v>
      </c>
      <c r="D153" s="125">
        <v>347</v>
      </c>
      <c r="E153" s="73">
        <f t="shared" ref="E153:E156" si="78">IF(ISNUMBER(D153), (D153 - $B153) / $B153, "")</f>
        <v>1.7595307917888565E-2</v>
      </c>
      <c r="F153" s="136">
        <f>IF(ISNUMBER(D153), $B172 * E153, "")</f>
        <v>2639.2961876832846</v>
      </c>
      <c r="G153" s="39">
        <v>340</v>
      </c>
      <c r="H153" s="73">
        <f t="shared" ref="H153:H156" si="79">IF(ISNUMBER(G153), (G153 - $B153) / $B153, "")</f>
        <v>-2.9325513196480938E-3</v>
      </c>
      <c r="I153" s="202">
        <f>IF(ISNUMBER(G153), $B172 * H153, "")</f>
        <v>-439.88269794721407</v>
      </c>
      <c r="J153" s="125">
        <v>340</v>
      </c>
      <c r="K153" s="73">
        <f t="shared" ref="K153:K156" si="80">IF(ISNUMBER(J153), (J153 - $B153) / $B153, "")</f>
        <v>-2.9325513196480938E-3</v>
      </c>
      <c r="L153" s="136">
        <f>IF(ISNUMBER(J153), $B172 * K153, "")</f>
        <v>-439.88269794721407</v>
      </c>
      <c r="M153" s="39">
        <v>333</v>
      </c>
      <c r="N153" s="73">
        <f t="shared" ref="N153:N156" si="81">IF(ISNUMBER(M153), (M153 - $B153) / $B153, "")</f>
        <v>-2.3460410557184751E-2</v>
      </c>
      <c r="O153" s="136">
        <f>IF(ISNUMBER(M153), $B172 * N153, "")</f>
        <v>-3519.0615835777126</v>
      </c>
      <c r="Q153" s="270"/>
      <c r="R153" s="270"/>
      <c r="S153" s="270"/>
    </row>
    <row r="154" spans="1:19" ht="17.25" thickBot="1">
      <c r="A154" s="124" t="s">
        <v>212</v>
      </c>
      <c r="B154" s="125">
        <v>139</v>
      </c>
      <c r="C154" s="73">
        <v>1.45985401E-2</v>
      </c>
      <c r="D154" s="125">
        <v>145</v>
      </c>
      <c r="E154" s="73">
        <f t="shared" si="78"/>
        <v>4.3165467625899283E-2</v>
      </c>
      <c r="F154" s="136">
        <f>IF(ISNUMBER(D154), $B172 * E154, "")</f>
        <v>6474.8201438848928</v>
      </c>
      <c r="G154" s="39">
        <v>145</v>
      </c>
      <c r="H154" s="73">
        <f t="shared" si="79"/>
        <v>4.3165467625899283E-2</v>
      </c>
      <c r="I154" s="202">
        <f>IF(ISNUMBER(G154), $B172 * H154, "")</f>
        <v>6474.8201438848928</v>
      </c>
      <c r="J154" s="125">
        <v>146</v>
      </c>
      <c r="K154" s="73">
        <f t="shared" si="80"/>
        <v>5.0359712230215826E-2</v>
      </c>
      <c r="L154" s="136">
        <f>IF(ISNUMBER(J154), $B172 * K154, "")</f>
        <v>7553.9568345323742</v>
      </c>
      <c r="M154" s="39">
        <v>140</v>
      </c>
      <c r="N154" s="73">
        <f t="shared" si="81"/>
        <v>7.1942446043165471E-3</v>
      </c>
      <c r="O154" s="136">
        <f>IF(ISNUMBER(M154), $B172 * N154, "")</f>
        <v>1079.1366906474821</v>
      </c>
      <c r="Q154" s="275"/>
      <c r="R154" s="275"/>
      <c r="S154" s="275"/>
    </row>
    <row r="155" spans="1:19" ht="17.25" thickBot="1">
      <c r="A155" s="124" t="s">
        <v>282</v>
      </c>
      <c r="B155" s="125">
        <v>165</v>
      </c>
      <c r="C155" s="73">
        <v>1.22699387E-2</v>
      </c>
      <c r="D155" s="125">
        <v>172</v>
      </c>
      <c r="E155" s="73">
        <f t="shared" si="78"/>
        <v>4.2424242424242427E-2</v>
      </c>
      <c r="F155" s="136">
        <f>IF(ISNUMBER(D155), $B172 * E155, "")</f>
        <v>6363.636363636364</v>
      </c>
      <c r="G155" s="39">
        <v>173</v>
      </c>
      <c r="H155" s="73">
        <f t="shared" si="79"/>
        <v>4.8484848484848485E-2</v>
      </c>
      <c r="I155" s="202">
        <f>IF(ISNUMBER(G155), $B172 * H155, "")</f>
        <v>7272.727272727273</v>
      </c>
      <c r="J155" s="125">
        <v>173</v>
      </c>
      <c r="K155" s="73">
        <f t="shared" si="80"/>
        <v>4.8484848484848485E-2</v>
      </c>
      <c r="L155" s="136">
        <f>IF(ISNUMBER(J155), $B172 * K155, "")</f>
        <v>7272.727272727273</v>
      </c>
      <c r="M155" s="39">
        <v>169</v>
      </c>
      <c r="N155" s="73">
        <f t="shared" si="81"/>
        <v>2.4242424242424242E-2</v>
      </c>
      <c r="O155" s="136">
        <f>IF(ISNUMBER(M155), $B172 * N155, "")</f>
        <v>3636.3636363636365</v>
      </c>
      <c r="Q155" s="275"/>
      <c r="R155" s="275"/>
      <c r="S155" s="275"/>
    </row>
    <row r="156" spans="1:19" ht="17.25" thickBot="1">
      <c r="A156" s="126" t="s">
        <v>232</v>
      </c>
      <c r="B156" s="127">
        <v>169</v>
      </c>
      <c r="C156" s="74">
        <v>1.19760479E-2</v>
      </c>
      <c r="D156" s="127">
        <v>178</v>
      </c>
      <c r="E156" s="74">
        <f t="shared" si="78"/>
        <v>5.3254437869822487E-2</v>
      </c>
      <c r="F156" s="203">
        <f>IF(ISNUMBER(D156), $B172 * E156, "")</f>
        <v>7988.165680473373</v>
      </c>
      <c r="G156" s="44">
        <v>178</v>
      </c>
      <c r="H156" s="74">
        <f t="shared" si="79"/>
        <v>5.3254437869822487E-2</v>
      </c>
      <c r="I156" s="204">
        <f>IF(ISNUMBER(G156), $B172 * H156, "")</f>
        <v>7988.165680473373</v>
      </c>
      <c r="J156" s="127">
        <v>177</v>
      </c>
      <c r="K156" s="74">
        <f t="shared" si="80"/>
        <v>4.7337278106508875E-2</v>
      </c>
      <c r="L156" s="203">
        <f>IF(ISNUMBER(J156), $B172 * K156, "")</f>
        <v>7100.5917159763312</v>
      </c>
      <c r="M156" s="44">
        <v>173</v>
      </c>
      <c r="N156" s="74">
        <f t="shared" si="81"/>
        <v>2.3668639053254437E-2</v>
      </c>
      <c r="O156" s="203">
        <f>IF(ISNUMBER(M156), $B172 * N156, "")</f>
        <v>3550.2958579881656</v>
      </c>
      <c r="Q156" s="275"/>
      <c r="R156" s="275"/>
      <c r="S156" s="275"/>
    </row>
    <row r="157" spans="1:19" ht="17.25" thickBot="1">
      <c r="A157" s="124" t="s">
        <v>246</v>
      </c>
      <c r="B157" s="128">
        <v>359</v>
      </c>
      <c r="C157" s="76">
        <v>1.1267605599999999E-2</v>
      </c>
      <c r="D157" s="128">
        <v>384</v>
      </c>
      <c r="E157" s="76">
        <f>IF(ISNUMBER(D157), (D157 - $B157) / $B157, "")</f>
        <v>6.9637883008356549E-2</v>
      </c>
      <c r="F157" s="205">
        <f>IF(ISNUMBER(D157), $B172 * E157, "")</f>
        <v>10445.682451253482</v>
      </c>
      <c r="G157" s="45">
        <v>380</v>
      </c>
      <c r="H157" s="76">
        <f>IF(ISNUMBER(G157), (G157 - $B157) / $B157, "")</f>
        <v>5.8495821727019497E-2</v>
      </c>
      <c r="I157" s="206">
        <f>IF(ISNUMBER(G157), $B172 * H157, "")</f>
        <v>8774.3732590529253</v>
      </c>
      <c r="J157" s="128">
        <v>379</v>
      </c>
      <c r="K157" s="76">
        <f>IF(ISNUMBER(J157), (J157 - $B157) / $B157, "")</f>
        <v>5.5710306406685235E-2</v>
      </c>
      <c r="L157" s="205">
        <f>IF(ISNUMBER(J157), $B172 * K157, "")</f>
        <v>8356.5459610027847</v>
      </c>
      <c r="M157" s="45">
        <v>371</v>
      </c>
      <c r="N157" s="76">
        <f>IF(ISNUMBER(M157), (M157 - $B157) / $B157, "")</f>
        <v>3.3426183844011144E-2</v>
      </c>
      <c r="O157" s="205">
        <f>IF(ISNUMBER(M157), $B172 * N157, "")</f>
        <v>5013.9275766016717</v>
      </c>
      <c r="Q157" s="275"/>
      <c r="R157" s="275"/>
      <c r="S157" s="275"/>
    </row>
    <row r="158" spans="1:19" ht="17.25" thickBot="1">
      <c r="A158" s="124" t="s">
        <v>148</v>
      </c>
      <c r="B158" s="125">
        <v>184</v>
      </c>
      <c r="C158" s="73">
        <v>1.0989011E-2</v>
      </c>
      <c r="D158" s="125">
        <v>195</v>
      </c>
      <c r="E158" s="73">
        <f t="shared" ref="E158:E161" si="82">IF(ISNUMBER(D158), (D158 - $B158) / $B158, "")</f>
        <v>5.9782608695652176E-2</v>
      </c>
      <c r="F158" s="136">
        <f>IF(ISNUMBER(D158), $B172 * E158, "")</f>
        <v>8967.391304347826</v>
      </c>
      <c r="G158" s="39">
        <v>191</v>
      </c>
      <c r="H158" s="73">
        <f t="shared" ref="H158:H161" si="83">IF(ISNUMBER(G158), (G158 - $B158) / $B158, "")</f>
        <v>3.8043478260869568E-2</v>
      </c>
      <c r="I158" s="202">
        <f>IF(ISNUMBER(G158), $B172 * H158, "")</f>
        <v>5706.521739130435</v>
      </c>
      <c r="J158" s="125">
        <v>190</v>
      </c>
      <c r="K158" s="73">
        <f t="shared" ref="K158:K161" si="84">IF(ISNUMBER(J158), (J158 - $B158) / $B158, "")</f>
        <v>3.2608695652173912E-2</v>
      </c>
      <c r="L158" s="136">
        <f>IF(ISNUMBER(J158), $B172 * K158, "")</f>
        <v>4891.304347826087</v>
      </c>
      <c r="M158" s="39">
        <v>188</v>
      </c>
      <c r="N158" s="73">
        <f t="shared" ref="N158:N161" si="85">IF(ISNUMBER(M158), (M158 - $B158) / $B158, "")</f>
        <v>2.1739130434782608E-2</v>
      </c>
      <c r="O158" s="136">
        <f>IF(ISNUMBER(M158), $B172 * N158, "")</f>
        <v>3260.869565217391</v>
      </c>
      <c r="Q158" s="275"/>
      <c r="R158" s="275"/>
      <c r="S158" s="275"/>
    </row>
    <row r="159" spans="1:19" ht="17.25" thickBot="1">
      <c r="A159" s="124" t="s">
        <v>216</v>
      </c>
      <c r="B159" s="125">
        <v>482</v>
      </c>
      <c r="C159" s="73">
        <v>1.0482180299999999E-2</v>
      </c>
      <c r="D159" s="125">
        <v>513</v>
      </c>
      <c r="E159" s="73">
        <f t="shared" si="82"/>
        <v>6.4315352697095429E-2</v>
      </c>
      <c r="F159" s="136">
        <f>IF(ISNUMBER(D159), $B172 * E159, "")</f>
        <v>9647.3029045643143</v>
      </c>
      <c r="G159" s="39">
        <v>509</v>
      </c>
      <c r="H159" s="73">
        <f t="shared" si="83"/>
        <v>5.6016597510373446E-2</v>
      </c>
      <c r="I159" s="202">
        <f>IF(ISNUMBER(G159), $B172 * H159, "")</f>
        <v>8402.4896265560164</v>
      </c>
      <c r="J159" s="125">
        <v>515</v>
      </c>
      <c r="K159" s="73">
        <f t="shared" si="84"/>
        <v>6.8464730290456438E-2</v>
      </c>
      <c r="L159" s="136">
        <f>IF(ISNUMBER(J159), $B172 * K159, "")</f>
        <v>10269.709543568466</v>
      </c>
      <c r="M159" s="39">
        <v>492</v>
      </c>
      <c r="N159" s="73">
        <f t="shared" si="85"/>
        <v>2.0746887966804978E-2</v>
      </c>
      <c r="O159" s="136">
        <f>IF(ISNUMBER(M159), $B172 * N159, "")</f>
        <v>3112.0331950207469</v>
      </c>
      <c r="Q159" s="275"/>
      <c r="R159" s="275"/>
      <c r="S159" s="275"/>
    </row>
    <row r="160" spans="1:19" ht="17.25" thickBot="1">
      <c r="A160" s="124" t="s">
        <v>252</v>
      </c>
      <c r="B160" s="125">
        <v>517</v>
      </c>
      <c r="C160" s="73">
        <v>7.7972709999999997E-3</v>
      </c>
      <c r="D160" s="125">
        <v>543</v>
      </c>
      <c r="E160" s="73">
        <f t="shared" si="82"/>
        <v>5.0290135396518373E-2</v>
      </c>
      <c r="F160" s="136">
        <f>IF(ISNUMBER(D160), $B172 * E160, "")</f>
        <v>7543.5203094777562</v>
      </c>
      <c r="G160" s="39">
        <v>534</v>
      </c>
      <c r="H160" s="73">
        <f t="shared" si="83"/>
        <v>3.2882011605415859E-2</v>
      </c>
      <c r="I160" s="202">
        <f>IF(ISNUMBER(G160), $B172 * H160, "")</f>
        <v>4932.3017408123787</v>
      </c>
      <c r="J160" s="125">
        <v>534</v>
      </c>
      <c r="K160" s="73">
        <f t="shared" si="84"/>
        <v>3.2882011605415859E-2</v>
      </c>
      <c r="L160" s="136">
        <f>IF(ISNUMBER(J160), $B172 * K160, "")</f>
        <v>4932.3017408123787</v>
      </c>
      <c r="M160" s="39">
        <v>520</v>
      </c>
      <c r="N160" s="73">
        <f t="shared" si="85"/>
        <v>5.8027079303675051E-3</v>
      </c>
      <c r="O160" s="136">
        <f>IF(ISNUMBER(M160), $B172 * N160, "")</f>
        <v>870.40618955512571</v>
      </c>
      <c r="Q160" s="33"/>
      <c r="R160" s="33"/>
    </row>
    <row r="161" spans="1:19" ht="17.25" thickBot="1">
      <c r="A161" s="129" t="s">
        <v>57</v>
      </c>
      <c r="B161" s="130">
        <v>427</v>
      </c>
      <c r="C161" s="75">
        <v>7.0754716999999996E-3</v>
      </c>
      <c r="D161" s="130">
        <v>445</v>
      </c>
      <c r="E161" s="75">
        <f t="shared" si="82"/>
        <v>4.2154566744730677E-2</v>
      </c>
      <c r="F161" s="137">
        <f>IF(ISNUMBER(D161), $B172 * E161, "")</f>
        <v>6323.1850117096019</v>
      </c>
      <c r="G161" s="37">
        <v>438</v>
      </c>
      <c r="H161" s="75">
        <f t="shared" si="83"/>
        <v>2.576112412177986E-2</v>
      </c>
      <c r="I161" s="207">
        <f>IF(ISNUMBER(G161), $B172 * H161, "")</f>
        <v>3864.1686182669791</v>
      </c>
      <c r="J161" s="130">
        <v>435</v>
      </c>
      <c r="K161" s="75">
        <f t="shared" si="84"/>
        <v>1.873536299765808E-2</v>
      </c>
      <c r="L161" s="137">
        <f>IF(ISNUMBER(J161), $B172 * K161, "")</f>
        <v>2810.3044496487119</v>
      </c>
      <c r="M161" s="37">
        <v>427</v>
      </c>
      <c r="N161" s="75">
        <f t="shared" si="85"/>
        <v>0</v>
      </c>
      <c r="O161" s="137">
        <f>IF(ISNUMBER(M161), $B172 * N161, "")</f>
        <v>0</v>
      </c>
      <c r="Q161" s="284"/>
      <c r="R161" s="285"/>
      <c r="S161" s="286"/>
    </row>
    <row r="162" spans="1:19">
      <c r="A162" s="122" t="s">
        <v>284</v>
      </c>
      <c r="B162" s="123">
        <v>460</v>
      </c>
      <c r="C162" s="72">
        <v>2.1786492E-3</v>
      </c>
      <c r="D162" s="123">
        <v>473</v>
      </c>
      <c r="E162" s="72">
        <f>IF(ISNUMBER(D162), (D162 - $B162) / $B162, "")</f>
        <v>2.8260869565217391E-2</v>
      </c>
      <c r="F162" s="140">
        <f>IF(ISNUMBER(D162), $B172 * E162, "")</f>
        <v>4239.130434782609</v>
      </c>
      <c r="G162" s="38">
        <v>472</v>
      </c>
      <c r="H162" s="72">
        <f>IF(ISNUMBER(G162), (G162 - $B162) / $B162, "")</f>
        <v>2.6086956521739129E-2</v>
      </c>
      <c r="I162" s="201">
        <f>IF(ISNUMBER(G162), $B172 * H162, "")</f>
        <v>3913.0434782608695</v>
      </c>
      <c r="J162" s="123">
        <v>468</v>
      </c>
      <c r="K162" s="72">
        <f>IF(ISNUMBER(J162), (J162 - $B162) / $B162, "")</f>
        <v>1.7391304347826087E-2</v>
      </c>
      <c r="L162" s="140">
        <f>IF(ISNUMBER(J162), $B172 * K162, "")</f>
        <v>2608.695652173913</v>
      </c>
      <c r="M162" s="38">
        <v>454</v>
      </c>
      <c r="N162" s="72">
        <f>IF(ISNUMBER(M162), (M162 - $B162) / $B162, "")</f>
        <v>-1.3043478260869565E-2</v>
      </c>
      <c r="O162" s="140">
        <f>IF(ISNUMBER(M162), $B172 * N162, "")</f>
        <v>-1956.5217391304348</v>
      </c>
      <c r="Q162" s="287"/>
      <c r="R162" s="288"/>
      <c r="S162" s="289"/>
    </row>
    <row r="163" spans="1:19" ht="17.25" thickBot="1">
      <c r="A163" s="124" t="s">
        <v>88</v>
      </c>
      <c r="B163" s="125">
        <v>553</v>
      </c>
      <c r="C163" s="73">
        <v>1.8115942E-3</v>
      </c>
      <c r="D163" s="125">
        <v>573</v>
      </c>
      <c r="E163" s="73">
        <f t="shared" ref="E163:E166" si="86">IF(ISNUMBER(D163), (D163 - $B163) / $B163, "")</f>
        <v>3.6166365280289332E-2</v>
      </c>
      <c r="F163" s="136">
        <f>IF(ISNUMBER(D163), $B172 * E163, "")</f>
        <v>5424.9547920433997</v>
      </c>
      <c r="G163" s="39">
        <v>560</v>
      </c>
      <c r="H163" s="73">
        <f t="shared" ref="H163:H166" si="87">IF(ISNUMBER(G163), (G163 - $B163) / $B163, "")</f>
        <v>1.2658227848101266E-2</v>
      </c>
      <c r="I163" s="202">
        <f>IF(ISNUMBER(G163), $B172 * H163, "")</f>
        <v>1898.7341772151899</v>
      </c>
      <c r="J163" s="125">
        <v>558</v>
      </c>
      <c r="K163" s="73">
        <f t="shared" ref="K163:K166" si="88">IF(ISNUMBER(J163), (J163 - $B163) / $B163, "")</f>
        <v>9.0415913200723331E-3</v>
      </c>
      <c r="L163" s="136">
        <f>IF(ISNUMBER(J163), $B172 * K163, "")</f>
        <v>1356.2386980108499</v>
      </c>
      <c r="M163" s="39">
        <v>549</v>
      </c>
      <c r="N163" s="73">
        <f t="shared" ref="N163:N166" si="89">IF(ISNUMBER(M163), (M163 - $B163) / $B163, "")</f>
        <v>-7.2332730560578659E-3</v>
      </c>
      <c r="O163" s="136">
        <f>IF(ISNUMBER(M163), $B172 * N163, "")</f>
        <v>-1084.9909584086799</v>
      </c>
      <c r="Q163" s="290"/>
      <c r="R163" s="291"/>
      <c r="S163" s="292"/>
    </row>
    <row r="164" spans="1:19" ht="17.25" thickBot="1">
      <c r="A164" s="124" t="s">
        <v>270</v>
      </c>
      <c r="B164" s="125">
        <v>537</v>
      </c>
      <c r="C164" s="73">
        <v>-3.7105750999999998E-3</v>
      </c>
      <c r="D164" s="125">
        <v>558</v>
      </c>
      <c r="E164" s="73">
        <f t="shared" si="86"/>
        <v>3.9106145251396648E-2</v>
      </c>
      <c r="F164" s="136">
        <f>IF(ISNUMBER(D164), $B172 * E164, "")</f>
        <v>5865.921787709497</v>
      </c>
      <c r="G164" s="39">
        <v>550</v>
      </c>
      <c r="H164" s="73">
        <f t="shared" si="87"/>
        <v>2.4208566108007448E-2</v>
      </c>
      <c r="I164" s="202">
        <f>IF(ISNUMBER(G164), $B172 * H164, "")</f>
        <v>3631.2849162011171</v>
      </c>
      <c r="J164" s="125">
        <v>549</v>
      </c>
      <c r="K164" s="73">
        <f t="shared" si="88"/>
        <v>2.23463687150838E-2</v>
      </c>
      <c r="L164" s="136">
        <f>IF(ISNUMBER(J164), $B172 * K164, "")</f>
        <v>3351.9553072625699</v>
      </c>
      <c r="M164" s="39">
        <v>543</v>
      </c>
      <c r="N164" s="73">
        <f t="shared" si="89"/>
        <v>1.11731843575419E-2</v>
      </c>
      <c r="O164" s="136">
        <f>IF(ISNUMBER(M164), $B172 * N164, "")</f>
        <v>1675.977653631285</v>
      </c>
      <c r="Q164" s="275"/>
      <c r="R164" s="275"/>
      <c r="S164" s="275"/>
    </row>
    <row r="165" spans="1:19" ht="17.25" thickBot="1">
      <c r="A165" s="124" t="s">
        <v>128</v>
      </c>
      <c r="B165" s="125">
        <v>636</v>
      </c>
      <c r="C165" s="73">
        <v>-9.3457943999999994E-3</v>
      </c>
      <c r="D165" s="125">
        <v>654</v>
      </c>
      <c r="E165" s="73">
        <f t="shared" si="86"/>
        <v>2.8301886792452831E-2</v>
      </c>
      <c r="F165" s="136">
        <f>IF(ISNUMBER(D165), $B172 * E165, "")</f>
        <v>4245.2830188679245</v>
      </c>
      <c r="G165" s="39">
        <v>644</v>
      </c>
      <c r="H165" s="73">
        <f t="shared" si="87"/>
        <v>1.2578616352201259E-2</v>
      </c>
      <c r="I165" s="202">
        <f>IF(ISNUMBER(G165), $B172 * H165, "")</f>
        <v>1886.7924528301887</v>
      </c>
      <c r="J165" s="125">
        <v>646</v>
      </c>
      <c r="K165" s="73">
        <f t="shared" si="88"/>
        <v>1.5723270440251572E-2</v>
      </c>
      <c r="L165" s="136">
        <f>IF(ISNUMBER(J165), $B172 * K165, "")</f>
        <v>2358.4905660377358</v>
      </c>
      <c r="M165" s="39">
        <v>633</v>
      </c>
      <c r="N165" s="73">
        <f t="shared" si="89"/>
        <v>-4.7169811320754715E-3</v>
      </c>
      <c r="O165" s="136">
        <f>IF(ISNUMBER(M165), $B172 * N165, "")</f>
        <v>-707.54716981132071</v>
      </c>
      <c r="Q165" s="270"/>
      <c r="R165" s="270"/>
      <c r="S165" s="270"/>
    </row>
    <row r="166" spans="1:19" ht="17.25" thickBot="1">
      <c r="A166" s="126" t="s">
        <v>132</v>
      </c>
      <c r="B166" s="127">
        <v>254</v>
      </c>
      <c r="C166" s="74">
        <v>-1.16731518E-2</v>
      </c>
      <c r="D166" s="127">
        <v>257</v>
      </c>
      <c r="E166" s="74">
        <f t="shared" si="86"/>
        <v>1.1811023622047244E-2</v>
      </c>
      <c r="F166" s="203">
        <f>IF(ISNUMBER(D166), $B172 * E166, "")</f>
        <v>1771.6535433070867</v>
      </c>
      <c r="G166" s="44">
        <v>252</v>
      </c>
      <c r="H166" s="74">
        <f t="shared" si="87"/>
        <v>-7.874015748031496E-3</v>
      </c>
      <c r="I166" s="204">
        <f>IF(ISNUMBER(G166), $B172 * H166, "")</f>
        <v>-1181.1023622047244</v>
      </c>
      <c r="J166" s="127">
        <v>254</v>
      </c>
      <c r="K166" s="74">
        <f t="shared" si="88"/>
        <v>0</v>
      </c>
      <c r="L166" s="203">
        <f>IF(ISNUMBER(J166), $B172 * K166, "")</f>
        <v>0</v>
      </c>
      <c r="M166" s="44">
        <v>248</v>
      </c>
      <c r="N166" s="74">
        <f t="shared" si="89"/>
        <v>-2.3622047244094488E-2</v>
      </c>
      <c r="O166" s="203">
        <f>IF(ISNUMBER(M166), $B172 * N166, "")</f>
        <v>-3543.3070866141734</v>
      </c>
      <c r="Q166" s="270"/>
      <c r="R166" s="270"/>
      <c r="S166" s="270"/>
    </row>
    <row r="167" spans="1:19" ht="17.25" thickBot="1">
      <c r="A167" s="124" t="s">
        <v>182</v>
      </c>
      <c r="B167" s="128">
        <v>489</v>
      </c>
      <c r="C167" s="76">
        <v>-1.8072289200000001E-2</v>
      </c>
      <c r="D167" s="128">
        <v>512</v>
      </c>
      <c r="E167" s="76">
        <f>IF(ISNUMBER(D167), (D167 - $B167) / $B167, "")</f>
        <v>4.7034764826175871E-2</v>
      </c>
      <c r="F167" s="205">
        <f>IF(ISNUMBER(D167), $B172 * E167, "")</f>
        <v>7055.2147239263804</v>
      </c>
      <c r="G167" s="45">
        <v>508</v>
      </c>
      <c r="H167" s="76">
        <f>IF(ISNUMBER(G167), (G167 - $B167) / $B167, "")</f>
        <v>3.8854805725971372E-2</v>
      </c>
      <c r="I167" s="206">
        <f>IF(ISNUMBER(G167), $B172 * H167, "")</f>
        <v>5828.2208588957055</v>
      </c>
      <c r="J167" s="128">
        <v>506</v>
      </c>
      <c r="K167" s="76">
        <f>IF(ISNUMBER(J167), (J167 - $B167) / $B167, "")</f>
        <v>3.4764826175869123E-2</v>
      </c>
      <c r="L167" s="205">
        <f>IF(ISNUMBER(J167), $B172 * K167, "")</f>
        <v>5214.7239263803685</v>
      </c>
      <c r="M167" s="45">
        <v>492</v>
      </c>
      <c r="N167" s="76">
        <f>IF(ISNUMBER(M167), (M167 - $B167) / $B167, "")</f>
        <v>6.1349693251533744E-3</v>
      </c>
      <c r="O167" s="205">
        <f>IF(ISNUMBER(M167), $B172 * N167, "")</f>
        <v>920.24539877300617</v>
      </c>
      <c r="Q167" s="275"/>
      <c r="R167" s="275"/>
      <c r="S167" s="275"/>
    </row>
    <row r="168" spans="1:19" ht="17.25" thickBot="1">
      <c r="A168" s="124" t="s">
        <v>142</v>
      </c>
      <c r="B168" s="125">
        <v>432</v>
      </c>
      <c r="C168" s="73">
        <v>-1.8181818200000002E-2</v>
      </c>
      <c r="D168" s="125">
        <v>452</v>
      </c>
      <c r="E168" s="73">
        <f t="shared" ref="E168:E171" si="90">IF(ISNUMBER(D168), (D168 - $B168) / $B168, "")</f>
        <v>4.6296296296296294E-2</v>
      </c>
      <c r="F168" s="136">
        <f>IF(ISNUMBER(D168), $B172 * E168, "")</f>
        <v>6944.4444444444443</v>
      </c>
      <c r="G168" s="39">
        <v>436</v>
      </c>
      <c r="H168" s="73">
        <f t="shared" ref="H168:H171" si="91">IF(ISNUMBER(G168), (G168 - $B168) / $B168, "")</f>
        <v>9.2592592592592587E-3</v>
      </c>
      <c r="I168" s="202">
        <f>IF(ISNUMBER(G168), $B172 * H168, "")</f>
        <v>1388.8888888888889</v>
      </c>
      <c r="J168" s="125">
        <v>439</v>
      </c>
      <c r="K168" s="73">
        <f t="shared" ref="K168:K171" si="92">IF(ISNUMBER(J168), (J168 - $B168) / $B168, "")</f>
        <v>1.6203703703703703E-2</v>
      </c>
      <c r="L168" s="136">
        <f>IF(ISNUMBER(J168), $B172 * K168, "")</f>
        <v>2430.5555555555552</v>
      </c>
      <c r="M168" s="39">
        <v>431</v>
      </c>
      <c r="N168" s="73">
        <f t="shared" ref="N168:N171" si="93">IF(ISNUMBER(M168), (M168 - $B168) / $B168, "")</f>
        <v>-2.3148148148148147E-3</v>
      </c>
      <c r="O168" s="136">
        <f>IF(ISNUMBER(M168), $B172 * N168, "")</f>
        <v>-347.22222222222223</v>
      </c>
      <c r="Q168" s="275"/>
      <c r="R168" s="275"/>
      <c r="S168" s="275"/>
    </row>
    <row r="169" spans="1:19" ht="17.25" thickBot="1">
      <c r="A169" s="124" t="s">
        <v>170</v>
      </c>
      <c r="B169" s="125">
        <v>521</v>
      </c>
      <c r="C169" s="73">
        <v>-2.0676691699999999E-2</v>
      </c>
      <c r="D169" s="125">
        <v>538</v>
      </c>
      <c r="E169" s="73">
        <f t="shared" si="90"/>
        <v>3.2629558541266791E-2</v>
      </c>
      <c r="F169" s="136">
        <f>IF(ISNUMBER(D169), $B172 * E169, "")</f>
        <v>4894.4337811900186</v>
      </c>
      <c r="G169" s="39">
        <v>537</v>
      </c>
      <c r="H169" s="73">
        <f t="shared" si="91"/>
        <v>3.0710172744721688E-2</v>
      </c>
      <c r="I169" s="202">
        <f>IF(ISNUMBER(G169), $B172 * H169, "")</f>
        <v>4606.5259117082533</v>
      </c>
      <c r="J169" s="125">
        <v>529</v>
      </c>
      <c r="K169" s="73">
        <f t="shared" si="92"/>
        <v>1.5355086372360844E-2</v>
      </c>
      <c r="L169" s="136">
        <f>IF(ISNUMBER(J169), $B172 * K169, "")</f>
        <v>2303.2629558541266</v>
      </c>
      <c r="M169" s="39">
        <v>525</v>
      </c>
      <c r="N169" s="73">
        <f t="shared" si="93"/>
        <v>7.677543186180422E-3</v>
      </c>
      <c r="O169" s="136">
        <f>IF(ISNUMBER(M169), $B172 * N169, "")</f>
        <v>1151.6314779270633</v>
      </c>
      <c r="Q169" s="275"/>
      <c r="R169" s="275"/>
      <c r="S169" s="275"/>
    </row>
    <row r="170" spans="1:19">
      <c r="A170" s="124" t="s">
        <v>51</v>
      </c>
      <c r="B170" s="125">
        <v>813</v>
      </c>
      <c r="C170" s="73">
        <v>-2.86738351E-2</v>
      </c>
      <c r="D170" s="125">
        <v>856</v>
      </c>
      <c r="E170" s="73">
        <f t="shared" si="90"/>
        <v>5.2890528905289051E-2</v>
      </c>
      <c r="F170" s="136">
        <f>IF(ISNUMBER(D170), $B172 * E170, "")</f>
        <v>7933.579335793358</v>
      </c>
      <c r="G170" s="39">
        <v>835</v>
      </c>
      <c r="H170" s="73">
        <f t="shared" si="91"/>
        <v>2.7060270602706028E-2</v>
      </c>
      <c r="I170" s="202">
        <f>IF(ISNUMBER(G170), $B172 * H170, "")</f>
        <v>4059.0405904059044</v>
      </c>
      <c r="J170" s="125">
        <v>836</v>
      </c>
      <c r="K170" s="73">
        <f t="shared" si="92"/>
        <v>2.8290282902829027E-2</v>
      </c>
      <c r="L170" s="136">
        <f>IF(ISNUMBER(J170), $B172 * K170, "")</f>
        <v>4243.5424354243542</v>
      </c>
      <c r="M170" s="39">
        <v>816</v>
      </c>
      <c r="N170" s="73">
        <f t="shared" si="93"/>
        <v>3.6900369003690036E-3</v>
      </c>
      <c r="O170" s="136">
        <f>IF(ISNUMBER(M170), $B172 * N170, "")</f>
        <v>553.50553505535049</v>
      </c>
      <c r="Q170" s="297"/>
      <c r="R170" s="298"/>
      <c r="S170" s="299"/>
    </row>
    <row r="171" spans="1:19" ht="17.25" thickBot="1">
      <c r="A171" s="129" t="s">
        <v>168</v>
      </c>
      <c r="B171" s="130">
        <v>226</v>
      </c>
      <c r="C171" s="75">
        <v>-3.0042918500000002E-2</v>
      </c>
      <c r="D171" s="130">
        <v>240</v>
      </c>
      <c r="E171" s="75">
        <f t="shared" si="90"/>
        <v>6.1946902654867256E-2</v>
      </c>
      <c r="F171" s="137">
        <f>IF(ISNUMBER(D171), $B172 * E171, "")</f>
        <v>9292.0353982300876</v>
      </c>
      <c r="G171" s="37">
        <v>232</v>
      </c>
      <c r="H171" s="75">
        <f t="shared" si="91"/>
        <v>2.6548672566371681E-2</v>
      </c>
      <c r="I171" s="207">
        <f>IF(ISNUMBER(G171), $B172 * H171, "")</f>
        <v>3982.3008849557523</v>
      </c>
      <c r="J171" s="130">
        <v>230</v>
      </c>
      <c r="K171" s="75">
        <f t="shared" si="92"/>
        <v>1.7699115044247787E-2</v>
      </c>
      <c r="L171" s="137">
        <f>IF(ISNUMBER(J171), $B172 * K171, "")</f>
        <v>2654.8672566371679</v>
      </c>
      <c r="M171" s="37">
        <v>224</v>
      </c>
      <c r="N171" s="75">
        <f t="shared" si="93"/>
        <v>-8.8495575221238937E-3</v>
      </c>
      <c r="O171" s="137">
        <f>IF(ISNUMBER(M171), $B172 * N171, "")</f>
        <v>-1327.4336283185839</v>
      </c>
      <c r="Q171" s="300"/>
      <c r="R171" s="301"/>
      <c r="S171" s="302"/>
    </row>
    <row r="172" spans="1:19" ht="17.25" thickBot="1">
      <c r="A172" s="131" t="s">
        <v>301</v>
      </c>
      <c r="B172" s="308">
        <f>$B$37</f>
        <v>150000</v>
      </c>
      <c r="C172" s="309"/>
      <c r="D172" s="131" t="s">
        <v>302</v>
      </c>
      <c r="E172" s="215">
        <f>IF(COUNT(E152:E171), SUM(E152:E171) / COUNT(E152:E171), 0)</f>
        <v>4.4954912121029464E-2</v>
      </c>
      <c r="F172" s="208">
        <f>SUM(F152:F171)</f>
        <v>134864.73636308839</v>
      </c>
      <c r="G172" s="131" t="s">
        <v>302</v>
      </c>
      <c r="H172" s="215">
        <f>IF(COUNT(H152:H171), SUM(H152:H171) / COUNT(H152:H171), 0)</f>
        <v>3.0841104495066319E-2</v>
      </c>
      <c r="I172" s="208">
        <f>SUM(I152:I171)</f>
        <v>92523.313485198931</v>
      </c>
      <c r="J172" s="131" t="s">
        <v>302</v>
      </c>
      <c r="K172" s="215">
        <f>IF(COUNT(K152:K171), SUM(K152:K171) / COUNT(K152:K171), 0)</f>
        <v>2.9601263275522861E-2</v>
      </c>
      <c r="L172" s="208">
        <f>SUM(L152:L171)</f>
        <v>88803.789826568594</v>
      </c>
      <c r="M172" s="131" t="s">
        <v>302</v>
      </c>
      <c r="N172" s="215">
        <f>IF(COUNT(N152:N171), SUM(N152:N171) / COUNT(N152:N171), 0)</f>
        <v>6.4432779374755363E-3</v>
      </c>
      <c r="O172" s="208">
        <f>SUM(O152:O171)</f>
        <v>19329.833812426608</v>
      </c>
      <c r="Q172" s="303"/>
      <c r="R172" s="304"/>
      <c r="S172" s="305"/>
    </row>
    <row r="174" spans="1:19" ht="17.25" thickBot="1"/>
    <row r="175" spans="1:19" ht="17.25" thickBot="1">
      <c r="A175" s="249" t="s">
        <v>285</v>
      </c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50"/>
      <c r="M175" s="250"/>
      <c r="N175" s="250"/>
      <c r="O175" s="251"/>
      <c r="Q175" s="270"/>
      <c r="R175" s="270"/>
      <c r="S175" s="270"/>
    </row>
    <row r="176" spans="1:19" ht="17.25" thickBot="1">
      <c r="A176" s="209" t="s">
        <v>298</v>
      </c>
      <c r="B176" s="249" t="s">
        <v>49</v>
      </c>
      <c r="C176" s="251"/>
      <c r="D176" s="249" t="s">
        <v>58</v>
      </c>
      <c r="E176" s="250"/>
      <c r="F176" s="251"/>
      <c r="G176" s="276">
        <f>_xlfn.IFNA(VLOOKUP(B176, 현재가테이블!$B$2:$D$200, 2, FALSE), "-")</f>
        <v>60874000</v>
      </c>
      <c r="H176" s="277"/>
      <c r="I176" s="278"/>
      <c r="J176" s="249" t="s">
        <v>59</v>
      </c>
      <c r="K176" s="250"/>
      <c r="L176" s="251"/>
      <c r="M176" s="279">
        <f>_xlfn.IFNA(VLOOKUP(B176, 현재가테이블!$B$2:$D$200, 3, FALSE), "-")</f>
        <v>-1.4936000099999999E-2</v>
      </c>
      <c r="N176" s="280"/>
      <c r="O176" s="281"/>
      <c r="Q176" s="270"/>
      <c r="R176" s="270"/>
      <c r="S176" s="270"/>
    </row>
    <row r="177" spans="1:19" ht="17.25" thickBot="1">
      <c r="A177" s="310" t="s">
        <v>55</v>
      </c>
      <c r="B177" s="312" t="str">
        <f>TEXT($G$1, "[$-ko-KR]yyyy-mm-dd(ddd) ") &amp; "오전 00:00"</f>
        <v>2021-05-12(수) 오전 00:00</v>
      </c>
      <c r="C177" s="313"/>
      <c r="D177" s="249" t="str">
        <f>TEXT($G$1, "[$-ko-KR]yyyy-mm-dd(ddd) ") &amp; "오후 14:00"</f>
        <v>2021-05-12(수) 오후 14:00</v>
      </c>
      <c r="E177" s="250"/>
      <c r="F177" s="251"/>
      <c r="G177" s="249" t="str">
        <f>TEXT($G$1, "[$-ko-KR]yyyy-mm-dd(ddd) ") &amp; "오후 19:00"</f>
        <v>2021-05-12(수) 오후 19:00</v>
      </c>
      <c r="H177" s="250"/>
      <c r="I177" s="251"/>
      <c r="J177" s="249" t="str">
        <f>TEXT($G$1, "[$-ko-KR]yyyy-mm-dd(ddd) ") &amp; "오후 21:00"</f>
        <v>2021-05-12(수) 오후 21:00</v>
      </c>
      <c r="K177" s="250"/>
      <c r="L177" s="251"/>
      <c r="M177" s="249" t="str">
        <f>TEXT($G$1+1, "[$-ko-KR]yyyy-mm-dd(ddd) ") &amp; "오전 00:00"</f>
        <v>2021-05-13(목) 오전 00:00</v>
      </c>
      <c r="N177" s="250"/>
      <c r="O177" s="251"/>
      <c r="Q177" s="270"/>
      <c r="R177" s="270"/>
      <c r="S177" s="270"/>
    </row>
    <row r="178" spans="1:19" ht="17.25" thickBot="1">
      <c r="A178" s="311"/>
      <c r="B178" s="120" t="s">
        <v>58</v>
      </c>
      <c r="C178" s="121" t="s">
        <v>59</v>
      </c>
      <c r="D178" s="120" t="s">
        <v>58</v>
      </c>
      <c r="E178" s="121" t="s">
        <v>299</v>
      </c>
      <c r="F178" s="216" t="s">
        <v>300</v>
      </c>
      <c r="G178" s="209" t="s">
        <v>58</v>
      </c>
      <c r="H178" s="210" t="s">
        <v>299</v>
      </c>
      <c r="I178" s="211" t="s">
        <v>300</v>
      </c>
      <c r="J178" s="121" t="s">
        <v>58</v>
      </c>
      <c r="K178" s="121" t="s">
        <v>299</v>
      </c>
      <c r="L178" s="213" t="s">
        <v>300</v>
      </c>
      <c r="M178" s="120" t="s">
        <v>58</v>
      </c>
      <c r="N178" s="121" t="s">
        <v>299</v>
      </c>
      <c r="O178" s="214" t="s">
        <v>300</v>
      </c>
      <c r="Q178" s="275"/>
      <c r="R178" s="275"/>
      <c r="S178" s="275"/>
    </row>
    <row r="179" spans="1:19" ht="17.25" thickBot="1">
      <c r="A179" s="122" t="s">
        <v>108</v>
      </c>
      <c r="B179" s="123">
        <v>56480</v>
      </c>
      <c r="C179" s="72">
        <v>-1.44826383E-2</v>
      </c>
      <c r="D179" s="123">
        <v>59100</v>
      </c>
      <c r="E179" s="72">
        <f>IF(ISNUMBER(D179), (D179 - $B179) / $B179, "")</f>
        <v>4.6388101983002833E-2</v>
      </c>
      <c r="F179" s="140">
        <f>IF(ISNUMBER(D179), $B199 * E179, "")</f>
        <v>6958.2152974504252</v>
      </c>
      <c r="G179" s="38">
        <v>57810</v>
      </c>
      <c r="H179" s="72">
        <f>IF(ISNUMBER(G179), (G179 - $B179) / $B179, "")</f>
        <v>2.3548158640226628E-2</v>
      </c>
      <c r="I179" s="201">
        <f>IF(ISNUMBER(G179), $B199 * H179, "")</f>
        <v>3532.2237960339944</v>
      </c>
      <c r="J179" s="123">
        <v>57760</v>
      </c>
      <c r="K179" s="72">
        <f>IF(ISNUMBER(J179), (J179 - $B179) / $B179, "")</f>
        <v>2.2662889518413599E-2</v>
      </c>
      <c r="L179" s="140">
        <f>IF(ISNUMBER(J179), $B199 * K179, "")</f>
        <v>3399.4334277620396</v>
      </c>
      <c r="M179" s="38">
        <v>56690</v>
      </c>
      <c r="N179" s="72">
        <f>IF(ISNUMBER(M179), (M179 - $B179) / $B179, "")</f>
        <v>3.718130311614731E-3</v>
      </c>
      <c r="O179" s="140">
        <f>IF(ISNUMBER(M179), $B199 * N179, "")</f>
        <v>557.71954674220967</v>
      </c>
      <c r="Q179" s="270"/>
      <c r="R179" s="270"/>
      <c r="S179" s="270"/>
    </row>
    <row r="180" spans="1:19" ht="17.25" thickBot="1">
      <c r="A180" s="124" t="s">
        <v>80</v>
      </c>
      <c r="B180" s="125">
        <v>1640</v>
      </c>
      <c r="C180" s="73">
        <v>-1.5015015E-2</v>
      </c>
      <c r="D180" s="125">
        <v>1700</v>
      </c>
      <c r="E180" s="73">
        <f t="shared" ref="E180:E183" si="94">IF(ISNUMBER(D180), (D180 - $B180) / $B180, "")</f>
        <v>3.6585365853658534E-2</v>
      </c>
      <c r="F180" s="136">
        <f>IF(ISNUMBER(D180), $B199 * E180, "")</f>
        <v>5487.8048780487798</v>
      </c>
      <c r="G180" s="39">
        <v>1660</v>
      </c>
      <c r="H180" s="73">
        <f t="shared" ref="H180:H183" si="95">IF(ISNUMBER(G180), (G180 - $B180) / $B180, "")</f>
        <v>1.2195121951219513E-2</v>
      </c>
      <c r="I180" s="202">
        <f>IF(ISNUMBER(G180), $B199 * H180, "")</f>
        <v>1829.2682926829268</v>
      </c>
      <c r="J180" s="125">
        <v>1670</v>
      </c>
      <c r="K180" s="73">
        <f t="shared" ref="K180:K183" si="96">IF(ISNUMBER(J180), (J180 - $B180) / $B180, "")</f>
        <v>1.8292682926829267E-2</v>
      </c>
      <c r="L180" s="136">
        <f>IF(ISNUMBER(J180), $B199 * K180, "")</f>
        <v>2743.9024390243899</v>
      </c>
      <c r="M180" s="39">
        <v>1640</v>
      </c>
      <c r="N180" s="73">
        <f t="shared" ref="N180:N183" si="97">IF(ISNUMBER(M180), (M180 - $B180) / $B180, "")</f>
        <v>0</v>
      </c>
      <c r="O180" s="136">
        <f>IF(ISNUMBER(M180), $B199 * N180, "")</f>
        <v>0</v>
      </c>
      <c r="Q180" s="270"/>
      <c r="R180" s="270"/>
      <c r="S180" s="270"/>
    </row>
    <row r="181" spans="1:19" ht="17.25" thickBot="1">
      <c r="A181" s="124" t="s">
        <v>74</v>
      </c>
      <c r="B181" s="125">
        <v>31700</v>
      </c>
      <c r="C181" s="73">
        <v>-1.52221187E-2</v>
      </c>
      <c r="D181" s="125">
        <v>33420</v>
      </c>
      <c r="E181" s="73">
        <f t="shared" si="94"/>
        <v>5.4258675078864352E-2</v>
      </c>
      <c r="F181" s="136">
        <f>IF(ISNUMBER(D181), $B199 * E181, "")</f>
        <v>8138.8012618296525</v>
      </c>
      <c r="G181" s="39">
        <v>32310</v>
      </c>
      <c r="H181" s="73">
        <f t="shared" si="95"/>
        <v>1.9242902208201892E-2</v>
      </c>
      <c r="I181" s="202">
        <f>IF(ISNUMBER(G181), $B199 * H181, "")</f>
        <v>2886.4353312302837</v>
      </c>
      <c r="J181" s="125">
        <v>32230</v>
      </c>
      <c r="K181" s="73">
        <f t="shared" si="96"/>
        <v>1.6719242902208203E-2</v>
      </c>
      <c r="L181" s="136">
        <f>IF(ISNUMBER(J181), $B199 * K181, "")</f>
        <v>2507.8864353312306</v>
      </c>
      <c r="M181" s="39">
        <v>33010</v>
      </c>
      <c r="N181" s="73">
        <f t="shared" si="97"/>
        <v>4.1324921135646689E-2</v>
      </c>
      <c r="O181" s="136">
        <f>IF(ISNUMBER(M181), $B199 * N181, "")</f>
        <v>6198.7381703470037</v>
      </c>
      <c r="Q181" s="275"/>
      <c r="R181" s="275"/>
      <c r="S181" s="275"/>
    </row>
    <row r="182" spans="1:19" ht="17.25" thickBot="1">
      <c r="A182" s="124" t="s">
        <v>69</v>
      </c>
      <c r="B182" s="125">
        <v>11440</v>
      </c>
      <c r="C182" s="73">
        <v>-1.7182130600000001E-2</v>
      </c>
      <c r="D182" s="125">
        <v>12220</v>
      </c>
      <c r="E182" s="73">
        <f t="shared" si="94"/>
        <v>6.8181818181818177E-2</v>
      </c>
      <c r="F182" s="136">
        <f>IF(ISNUMBER(D182), $B199 * E182, "")</f>
        <v>10227.272727272726</v>
      </c>
      <c r="G182" s="39">
        <v>12010</v>
      </c>
      <c r="H182" s="73">
        <f t="shared" si="95"/>
        <v>4.9825174825174824E-2</v>
      </c>
      <c r="I182" s="202">
        <f>IF(ISNUMBER(G182), $B199 * H182, "")</f>
        <v>7473.7762237762236</v>
      </c>
      <c r="J182" s="125">
        <v>12000</v>
      </c>
      <c r="K182" s="73">
        <f t="shared" si="96"/>
        <v>4.8951048951048952E-2</v>
      </c>
      <c r="L182" s="136">
        <f>IF(ISNUMBER(J182), $B199 * K182, "")</f>
        <v>7342.6573426573432</v>
      </c>
      <c r="M182" s="39">
        <v>11760</v>
      </c>
      <c r="N182" s="73">
        <f t="shared" si="97"/>
        <v>2.7972027972027972E-2</v>
      </c>
      <c r="O182" s="136">
        <f>IF(ISNUMBER(M182), $B199 * N182, "")</f>
        <v>4195.8041958041958</v>
      </c>
      <c r="Q182" s="275"/>
      <c r="R182" s="275"/>
      <c r="S182" s="275"/>
    </row>
    <row r="183" spans="1:19" ht="17.25" thickBot="1">
      <c r="A183" s="126" t="s">
        <v>96</v>
      </c>
      <c r="B183" s="127">
        <v>4922000</v>
      </c>
      <c r="C183" s="74">
        <v>-1.73687363E-2</v>
      </c>
      <c r="D183" s="127">
        <v>5254000</v>
      </c>
      <c r="E183" s="74">
        <f t="shared" si="94"/>
        <v>6.7452255180820805E-2</v>
      </c>
      <c r="F183" s="203">
        <f>IF(ISNUMBER(D183), $B199 * E183, "")</f>
        <v>10117.838277123121</v>
      </c>
      <c r="G183" s="44">
        <v>5219000</v>
      </c>
      <c r="H183" s="74">
        <f t="shared" si="95"/>
        <v>6.0341324664770421E-2</v>
      </c>
      <c r="I183" s="204">
        <f>IF(ISNUMBER(G183), $B199 * H183, "")</f>
        <v>9051.1986997155636</v>
      </c>
      <c r="J183" s="127">
        <v>5232000</v>
      </c>
      <c r="K183" s="74">
        <f t="shared" si="96"/>
        <v>6.2982527427874843E-2</v>
      </c>
      <c r="L183" s="203">
        <f>IF(ISNUMBER(J183), $B199 * K183, "")</f>
        <v>9447.3791141812271</v>
      </c>
      <c r="M183" s="44">
        <v>5230000</v>
      </c>
      <c r="N183" s="74">
        <f t="shared" si="97"/>
        <v>6.2576188541243402E-2</v>
      </c>
      <c r="O183" s="203">
        <f>IF(ISNUMBER(M183), $B199 * N183, "")</f>
        <v>9386.4282811865105</v>
      </c>
      <c r="Q183" s="275"/>
      <c r="R183" s="275"/>
      <c r="S183" s="275"/>
    </row>
    <row r="184" spans="1:19" ht="17.25" thickBot="1">
      <c r="A184" s="124" t="s">
        <v>182</v>
      </c>
      <c r="B184" s="128">
        <v>489</v>
      </c>
      <c r="C184" s="76">
        <v>-1.8072289200000001E-2</v>
      </c>
      <c r="D184" s="128">
        <v>512</v>
      </c>
      <c r="E184" s="76">
        <f>IF(ISNUMBER(D184), (D184 - $B184) / $B184, "")</f>
        <v>4.7034764826175871E-2</v>
      </c>
      <c r="F184" s="205">
        <f>IF(ISNUMBER(D184), $B199 * E184, "")</f>
        <v>7055.2147239263804</v>
      </c>
      <c r="G184" s="45">
        <v>508</v>
      </c>
      <c r="H184" s="76">
        <f>IF(ISNUMBER(G184), (G184 - $B184) / $B184, "")</f>
        <v>3.8854805725971372E-2</v>
      </c>
      <c r="I184" s="206">
        <f>IF(ISNUMBER(G184), $B199 * H184, "")</f>
        <v>5828.2208588957055</v>
      </c>
      <c r="J184" s="128">
        <v>506</v>
      </c>
      <c r="K184" s="76">
        <f>IF(ISNUMBER(J184), (J184 - $B184) / $B184, "")</f>
        <v>3.4764826175869123E-2</v>
      </c>
      <c r="L184" s="205">
        <f>IF(ISNUMBER(J184), $B199 * K184, "")</f>
        <v>5214.7239263803685</v>
      </c>
      <c r="M184" s="45">
        <v>492</v>
      </c>
      <c r="N184" s="76">
        <f>IF(ISNUMBER(M184), (M184 - $B184) / $B184, "")</f>
        <v>6.1349693251533744E-3</v>
      </c>
      <c r="O184" s="205">
        <f>IF(ISNUMBER(M184), $B199 * N184, "")</f>
        <v>920.24539877300617</v>
      </c>
      <c r="Q184" s="275"/>
      <c r="R184" s="275"/>
      <c r="S184" s="275"/>
    </row>
    <row r="185" spans="1:19" ht="17.25" thickBot="1">
      <c r="A185" s="124" t="s">
        <v>142</v>
      </c>
      <c r="B185" s="125">
        <v>432</v>
      </c>
      <c r="C185" s="73">
        <v>-1.8181818200000002E-2</v>
      </c>
      <c r="D185" s="125">
        <v>452</v>
      </c>
      <c r="E185" s="73">
        <f t="shared" ref="E185:E188" si="98">IF(ISNUMBER(D185), (D185 - $B185) / $B185, "")</f>
        <v>4.6296296296296294E-2</v>
      </c>
      <c r="F185" s="136">
        <f>IF(ISNUMBER(D185), $B199 * E185, "")</f>
        <v>6944.4444444444443</v>
      </c>
      <c r="G185" s="39">
        <v>436</v>
      </c>
      <c r="H185" s="73">
        <f t="shared" ref="H185:H188" si="99">IF(ISNUMBER(G185), (G185 - $B185) / $B185, "")</f>
        <v>9.2592592592592587E-3</v>
      </c>
      <c r="I185" s="202">
        <f>IF(ISNUMBER(G185), $B199 * H185, "")</f>
        <v>1388.8888888888889</v>
      </c>
      <c r="J185" s="125">
        <v>439</v>
      </c>
      <c r="K185" s="73">
        <f t="shared" ref="K185:K188" si="100">IF(ISNUMBER(J185), (J185 - $B185) / $B185, "")</f>
        <v>1.6203703703703703E-2</v>
      </c>
      <c r="L185" s="136">
        <f>IF(ISNUMBER(J185), $B199 * K185, "")</f>
        <v>2430.5555555555552</v>
      </c>
      <c r="M185" s="39">
        <v>431</v>
      </c>
      <c r="N185" s="73">
        <f t="shared" ref="N185:N188" si="101">IF(ISNUMBER(M185), (M185 - $B185) / $B185, "")</f>
        <v>-2.3148148148148147E-3</v>
      </c>
      <c r="O185" s="136">
        <f>IF(ISNUMBER(M185), $B199 * N185, "")</f>
        <v>-347.22222222222223</v>
      </c>
      <c r="Q185" s="275"/>
      <c r="R185" s="275"/>
      <c r="S185" s="275"/>
    </row>
    <row r="186" spans="1:19" ht="17.25" thickBot="1">
      <c r="A186" s="124" t="s">
        <v>130</v>
      </c>
      <c r="B186" s="125">
        <v>447150</v>
      </c>
      <c r="C186" s="73">
        <v>-1.9407894700000001E-2</v>
      </c>
      <c r="D186" s="125">
        <v>471550</v>
      </c>
      <c r="E186" s="73">
        <f t="shared" si="98"/>
        <v>5.4567818405456783E-2</v>
      </c>
      <c r="F186" s="136">
        <f>IF(ISNUMBER(D186), $B199 * E186, "")</f>
        <v>8185.1727608185174</v>
      </c>
      <c r="G186" s="39">
        <v>461800</v>
      </c>
      <c r="H186" s="73">
        <f t="shared" si="99"/>
        <v>3.2763054903276308E-2</v>
      </c>
      <c r="I186" s="202">
        <f>IF(ISNUMBER(G186), $B199 * H186, "")</f>
        <v>4914.4582354914464</v>
      </c>
      <c r="J186" s="125">
        <v>459950</v>
      </c>
      <c r="K186" s="73">
        <f t="shared" si="100"/>
        <v>2.8625740802862575E-2</v>
      </c>
      <c r="L186" s="136">
        <f>IF(ISNUMBER(J186), $B199 * K186, "")</f>
        <v>4293.8611204293866</v>
      </c>
      <c r="M186" s="39">
        <v>447250</v>
      </c>
      <c r="N186" s="73">
        <f t="shared" si="101"/>
        <v>2.2363860002236387E-4</v>
      </c>
      <c r="O186" s="136">
        <f>IF(ISNUMBER(M186), $B199 * N186, "")</f>
        <v>33.545790003354583</v>
      </c>
      <c r="Q186" s="275"/>
      <c r="R186" s="275"/>
      <c r="S186" s="275"/>
    </row>
    <row r="187" spans="1:19" ht="17.25" thickBot="1">
      <c r="A187" s="124" t="s">
        <v>170</v>
      </c>
      <c r="B187" s="125">
        <v>521</v>
      </c>
      <c r="C187" s="73">
        <v>-2.0676691699999999E-2</v>
      </c>
      <c r="D187" s="125">
        <v>538</v>
      </c>
      <c r="E187" s="73">
        <f t="shared" si="98"/>
        <v>3.2629558541266791E-2</v>
      </c>
      <c r="F187" s="136">
        <f>IF(ISNUMBER(D187), $B199 * E187, "")</f>
        <v>4894.4337811900186</v>
      </c>
      <c r="G187" s="39">
        <v>537</v>
      </c>
      <c r="H187" s="73">
        <f t="shared" si="99"/>
        <v>3.0710172744721688E-2</v>
      </c>
      <c r="I187" s="202">
        <f>IF(ISNUMBER(G187), $B199 * H187, "")</f>
        <v>4606.5259117082533</v>
      </c>
      <c r="J187" s="125">
        <v>529</v>
      </c>
      <c r="K187" s="73">
        <f t="shared" si="100"/>
        <v>1.5355086372360844E-2</v>
      </c>
      <c r="L187" s="136">
        <f>IF(ISNUMBER(J187), $B199 * K187, "")</f>
        <v>2303.2629558541266</v>
      </c>
      <c r="M187" s="39">
        <v>525</v>
      </c>
      <c r="N187" s="73">
        <f t="shared" si="101"/>
        <v>7.677543186180422E-3</v>
      </c>
      <c r="O187" s="136">
        <f>IF(ISNUMBER(M187), $B199 * N187, "")</f>
        <v>1151.6314779270633</v>
      </c>
      <c r="Q187" s="33"/>
      <c r="R187" s="33"/>
    </row>
    <row r="188" spans="1:19" ht="17.25" thickBot="1">
      <c r="A188" s="129" t="s">
        <v>272</v>
      </c>
      <c r="B188" s="130">
        <v>2485</v>
      </c>
      <c r="C188" s="75">
        <v>-2.3575638499999999E-2</v>
      </c>
      <c r="D188" s="130">
        <v>2760</v>
      </c>
      <c r="E188" s="75">
        <f t="shared" si="98"/>
        <v>0.11066398390342053</v>
      </c>
      <c r="F188" s="137">
        <f>IF(ISNUMBER(D188), $B199 * E188, "")</f>
        <v>16599.597585513078</v>
      </c>
      <c r="G188" s="37">
        <v>2655</v>
      </c>
      <c r="H188" s="75">
        <f t="shared" si="99"/>
        <v>6.8410462776659964E-2</v>
      </c>
      <c r="I188" s="207">
        <f>IF(ISNUMBER(G188), $B199 * H188, "")</f>
        <v>10261.569416498995</v>
      </c>
      <c r="J188" s="130">
        <v>2700</v>
      </c>
      <c r="K188" s="75">
        <f t="shared" si="100"/>
        <v>8.651911468812877E-2</v>
      </c>
      <c r="L188" s="137">
        <f>IF(ISNUMBER(J188), $B199 * K188, "")</f>
        <v>12977.867203219315</v>
      </c>
      <c r="M188" s="37">
        <v>2565</v>
      </c>
      <c r="N188" s="75">
        <f t="shared" si="101"/>
        <v>3.2193158953722337E-2</v>
      </c>
      <c r="O188" s="137">
        <f>IF(ISNUMBER(M188), $B199 * N188, "")</f>
        <v>4828.9738430583502</v>
      </c>
      <c r="Q188" s="284"/>
      <c r="R188" s="285"/>
      <c r="S188" s="286"/>
    </row>
    <row r="189" spans="1:19">
      <c r="A189" s="122" t="s">
        <v>76</v>
      </c>
      <c r="B189" s="123">
        <v>57420</v>
      </c>
      <c r="C189" s="72">
        <v>-2.39673636E-2</v>
      </c>
      <c r="D189" s="123">
        <v>59790</v>
      </c>
      <c r="E189" s="72">
        <f>IF(ISNUMBER(D189), (D189 - $B189) / $B189, "")</f>
        <v>4.1274817136886105E-2</v>
      </c>
      <c r="F189" s="140">
        <f>IF(ISNUMBER(D189), $B199 * E189, "")</f>
        <v>6191.2225705329156</v>
      </c>
      <c r="G189" s="38">
        <v>58320</v>
      </c>
      <c r="H189" s="72">
        <f>IF(ISNUMBER(G189), (G189 - $B189) / $B189, "")</f>
        <v>1.5673981191222569E-2</v>
      </c>
      <c r="I189" s="201">
        <f>IF(ISNUMBER(G189), $B199 * H189, "")</f>
        <v>2351.0971786833852</v>
      </c>
      <c r="J189" s="123">
        <v>58930</v>
      </c>
      <c r="K189" s="72">
        <f>IF(ISNUMBER(J189), (J189 - $B189) / $B189, "")</f>
        <v>2.629745733194009E-2</v>
      </c>
      <c r="L189" s="140">
        <f>IF(ISNUMBER(J189), $B199 * K189, "")</f>
        <v>3944.6185997910134</v>
      </c>
      <c r="M189" s="38">
        <v>58130</v>
      </c>
      <c r="N189" s="72">
        <f>IF(ISNUMBER(M189), (M189 - $B189) / $B189, "")</f>
        <v>1.2365029606408917E-2</v>
      </c>
      <c r="O189" s="140">
        <f>IF(ISNUMBER(M189), $B199 * N189, "")</f>
        <v>1854.7544409613377</v>
      </c>
      <c r="Q189" s="287"/>
      <c r="R189" s="288"/>
      <c r="S189" s="289"/>
    </row>
    <row r="190" spans="1:19" ht="17.25" thickBot="1">
      <c r="A190" s="124" t="s">
        <v>51</v>
      </c>
      <c r="B190" s="125">
        <v>813</v>
      </c>
      <c r="C190" s="73">
        <v>-2.86738351E-2</v>
      </c>
      <c r="D190" s="125">
        <v>856</v>
      </c>
      <c r="E190" s="73">
        <f t="shared" ref="E190:E193" si="102">IF(ISNUMBER(D190), (D190 - $B190) / $B190, "")</f>
        <v>5.2890528905289051E-2</v>
      </c>
      <c r="F190" s="136">
        <f>IF(ISNUMBER(D190), $B199 * E190, "")</f>
        <v>7933.579335793358</v>
      </c>
      <c r="G190" s="39">
        <v>835</v>
      </c>
      <c r="H190" s="73">
        <f t="shared" ref="H190:H193" si="103">IF(ISNUMBER(G190), (G190 - $B190) / $B190, "")</f>
        <v>2.7060270602706028E-2</v>
      </c>
      <c r="I190" s="202">
        <f>IF(ISNUMBER(G190), $B199 * H190, "")</f>
        <v>4059.0405904059044</v>
      </c>
      <c r="J190" s="125">
        <v>836</v>
      </c>
      <c r="K190" s="73">
        <f t="shared" ref="K190:K193" si="104">IF(ISNUMBER(J190), (J190 - $B190) / $B190, "")</f>
        <v>2.8290282902829027E-2</v>
      </c>
      <c r="L190" s="136">
        <f>IF(ISNUMBER(J190), $B199 * K190, "")</f>
        <v>4243.5424354243542</v>
      </c>
      <c r="M190" s="39">
        <v>816</v>
      </c>
      <c r="N190" s="73">
        <f t="shared" ref="N190:N193" si="105">IF(ISNUMBER(M190), (M190 - $B190) / $B190, "")</f>
        <v>3.6900369003690036E-3</v>
      </c>
      <c r="O190" s="136">
        <f>IF(ISNUMBER(M190), $B199 * N190, "")</f>
        <v>553.50553505535049</v>
      </c>
      <c r="Q190" s="290"/>
      <c r="R190" s="291"/>
      <c r="S190" s="292"/>
    </row>
    <row r="191" spans="1:19" ht="17.25" thickBot="1">
      <c r="A191" s="124" t="s">
        <v>168</v>
      </c>
      <c r="B191" s="125">
        <v>226</v>
      </c>
      <c r="C191" s="73">
        <v>-3.0042918500000002E-2</v>
      </c>
      <c r="D191" s="125">
        <v>240</v>
      </c>
      <c r="E191" s="73">
        <f t="shared" si="102"/>
        <v>6.1946902654867256E-2</v>
      </c>
      <c r="F191" s="136">
        <f>IF(ISNUMBER(D191), $B199 * E191, "")</f>
        <v>9292.0353982300876</v>
      </c>
      <c r="G191" s="39">
        <v>232</v>
      </c>
      <c r="H191" s="73">
        <f t="shared" si="103"/>
        <v>2.6548672566371681E-2</v>
      </c>
      <c r="I191" s="202">
        <f>IF(ISNUMBER(G191), $B199 * H191, "")</f>
        <v>3982.3008849557523</v>
      </c>
      <c r="J191" s="125">
        <v>230</v>
      </c>
      <c r="K191" s="73">
        <f t="shared" si="104"/>
        <v>1.7699115044247787E-2</v>
      </c>
      <c r="L191" s="136">
        <f>IF(ISNUMBER(J191), $B199 * K191, "")</f>
        <v>2654.8672566371679</v>
      </c>
      <c r="M191" s="39">
        <v>224</v>
      </c>
      <c r="N191" s="73">
        <f t="shared" si="105"/>
        <v>-8.8495575221238937E-3</v>
      </c>
      <c r="O191" s="136">
        <f>IF(ISNUMBER(M191), $B199 * N191, "")</f>
        <v>-1327.4336283185839</v>
      </c>
      <c r="Q191" s="275"/>
      <c r="R191" s="275"/>
      <c r="S191" s="275"/>
    </row>
    <row r="192" spans="1:19" ht="17.25" thickBot="1">
      <c r="A192" s="124" t="s">
        <v>49</v>
      </c>
      <c r="B192" s="125">
        <v>68737000</v>
      </c>
      <c r="C192" s="73">
        <v>-3.0535104800000001E-2</v>
      </c>
      <c r="D192" s="125">
        <v>70070000</v>
      </c>
      <c r="E192" s="73">
        <f t="shared" si="102"/>
        <v>1.9392757903312626E-2</v>
      </c>
      <c r="F192" s="136">
        <f>IF(ISNUMBER(D192), $B199 * E192, "")</f>
        <v>2908.9136854968938</v>
      </c>
      <c r="G192" s="39">
        <v>69075000</v>
      </c>
      <c r="H192" s="73">
        <f t="shared" si="103"/>
        <v>4.9172934518527138E-3</v>
      </c>
      <c r="I192" s="202">
        <f>IF(ISNUMBER(G192), $B199 * H192, "")</f>
        <v>737.59401777790708</v>
      </c>
      <c r="J192" s="125">
        <v>69239000</v>
      </c>
      <c r="K192" s="73">
        <f t="shared" si="104"/>
        <v>7.3031991503847999E-3</v>
      </c>
      <c r="L192" s="136">
        <f>IF(ISNUMBER(J192), $B199 * K192, "")</f>
        <v>1095.47987255772</v>
      </c>
      <c r="M192" s="39">
        <v>69195000</v>
      </c>
      <c r="N192" s="73">
        <f t="shared" si="105"/>
        <v>6.663078109315216E-3</v>
      </c>
      <c r="O192" s="136">
        <f>IF(ISNUMBER(M192), $B199 * N192, "")</f>
        <v>999.46171639728243</v>
      </c>
      <c r="Q192" s="270"/>
      <c r="R192" s="270"/>
      <c r="S192" s="270"/>
    </row>
    <row r="193" spans="1:19" ht="17.25" thickBot="1">
      <c r="A193" s="126" t="s">
        <v>248</v>
      </c>
      <c r="B193" s="127">
        <v>3635</v>
      </c>
      <c r="C193" s="74">
        <v>-3.0666666700000001E-2</v>
      </c>
      <c r="D193" s="127">
        <v>3875</v>
      </c>
      <c r="E193" s="74">
        <f t="shared" si="102"/>
        <v>6.6024759284731768E-2</v>
      </c>
      <c r="F193" s="203">
        <f>IF(ISNUMBER(D193), $B199 * E193, "")</f>
        <v>9903.7138927097658</v>
      </c>
      <c r="G193" s="44">
        <v>3770</v>
      </c>
      <c r="H193" s="74">
        <f t="shared" si="103"/>
        <v>3.7138927097661624E-2</v>
      </c>
      <c r="I193" s="204">
        <f>IF(ISNUMBER(G193), $B199 * H193, "")</f>
        <v>5570.8390646492435</v>
      </c>
      <c r="J193" s="127">
        <v>3725</v>
      </c>
      <c r="K193" s="74">
        <f t="shared" si="104"/>
        <v>2.4759284731774415E-2</v>
      </c>
      <c r="L193" s="203">
        <f>IF(ISNUMBER(J193), $B199 * K193, "")</f>
        <v>3713.8927097661622</v>
      </c>
      <c r="M193" s="44">
        <v>3590</v>
      </c>
      <c r="N193" s="74">
        <f t="shared" si="105"/>
        <v>-1.2379642365887207E-2</v>
      </c>
      <c r="O193" s="203">
        <f>IF(ISNUMBER(M193), $B199 * N193, "")</f>
        <v>-1856.9463548830811</v>
      </c>
      <c r="Q193" s="270"/>
      <c r="R193" s="270"/>
      <c r="S193" s="270"/>
    </row>
    <row r="194" spans="1:19" ht="17.25" thickBot="1">
      <c r="A194" s="124" t="s">
        <v>280</v>
      </c>
      <c r="B194" s="128">
        <v>1765</v>
      </c>
      <c r="C194" s="76">
        <v>-3.2876712299999999E-2</v>
      </c>
      <c r="D194" s="128">
        <v>1845</v>
      </c>
      <c r="E194" s="76">
        <f>IF(ISNUMBER(D194), (D194 - $B194) / $B194, "")</f>
        <v>4.5325779036827198E-2</v>
      </c>
      <c r="F194" s="205">
        <f>IF(ISNUMBER(D194), $B199 * E194, "")</f>
        <v>6798.8668555240793</v>
      </c>
      <c r="G194" s="45">
        <v>1805</v>
      </c>
      <c r="H194" s="76">
        <f>IF(ISNUMBER(G194), (G194 - $B194) / $B194, "")</f>
        <v>2.2662889518413599E-2</v>
      </c>
      <c r="I194" s="206">
        <f>IF(ISNUMBER(G194), $B199 * H194, "")</f>
        <v>3399.4334277620396</v>
      </c>
      <c r="J194" s="128">
        <v>1800</v>
      </c>
      <c r="K194" s="76">
        <f>IF(ISNUMBER(J194), (J194 - $B194) / $B194, "")</f>
        <v>1.9830028328611898E-2</v>
      </c>
      <c r="L194" s="205">
        <f>IF(ISNUMBER(J194), $B199 * K194, "")</f>
        <v>2974.5042492917846</v>
      </c>
      <c r="M194" s="45">
        <v>1750</v>
      </c>
      <c r="N194" s="76">
        <f>IF(ISNUMBER(M194), (M194 - $B194) / $B194, "")</f>
        <v>-8.4985835694051E-3</v>
      </c>
      <c r="O194" s="205">
        <f>IF(ISNUMBER(M194), $B199 * N194, "")</f>
        <v>-1274.787535410765</v>
      </c>
      <c r="Q194" s="275"/>
      <c r="R194" s="275"/>
      <c r="S194" s="275"/>
    </row>
    <row r="195" spans="1:19" ht="17.25" thickBot="1">
      <c r="A195" s="124" t="s">
        <v>276</v>
      </c>
      <c r="B195" s="125">
        <v>5080</v>
      </c>
      <c r="C195" s="73">
        <v>-4.1509433999999998E-2</v>
      </c>
      <c r="D195" s="125">
        <v>6045</v>
      </c>
      <c r="E195" s="73">
        <f t="shared" ref="E195:E198" si="106">IF(ISNUMBER(D195), (D195 - $B195) / $B195, "")</f>
        <v>0.18996062992125984</v>
      </c>
      <c r="F195" s="136">
        <f>IF(ISNUMBER(D195), $B199 * E195, "")</f>
        <v>28494.094488188977</v>
      </c>
      <c r="G195" s="39">
        <v>5705</v>
      </c>
      <c r="H195" s="73">
        <f t="shared" ref="H195:H198" si="107">IF(ISNUMBER(G195), (G195 - $B195) / $B195, "")</f>
        <v>0.12303149606299213</v>
      </c>
      <c r="I195" s="202">
        <f>IF(ISNUMBER(G195), $B199 * H195, "")</f>
        <v>18454.72440944882</v>
      </c>
      <c r="J195" s="125">
        <v>5635</v>
      </c>
      <c r="K195" s="73">
        <f t="shared" ref="K195:K198" si="108">IF(ISNUMBER(J195), (J195 - $B195) / $B195, "")</f>
        <v>0.10925196850393701</v>
      </c>
      <c r="L195" s="136">
        <f>IF(ISNUMBER(J195), $B199 * K195, "")</f>
        <v>16387.79527559055</v>
      </c>
      <c r="M195" s="39">
        <v>5215</v>
      </c>
      <c r="N195" s="73">
        <f t="shared" ref="N195:N198" si="109">IF(ISNUMBER(M195), (M195 - $B195) / $B195, "")</f>
        <v>2.6574803149606301E-2</v>
      </c>
      <c r="O195" s="136">
        <f>IF(ISNUMBER(M195), $B199 * N195, "")</f>
        <v>3986.2204724409453</v>
      </c>
      <c r="Q195" s="275"/>
      <c r="R195" s="275"/>
      <c r="S195" s="275"/>
    </row>
    <row r="196" spans="1:19" ht="17.25" thickBot="1">
      <c r="A196" s="124" t="s">
        <v>102</v>
      </c>
      <c r="B196" s="125">
        <v>131850</v>
      </c>
      <c r="C196" s="73">
        <v>-4.5257060100000003E-2</v>
      </c>
      <c r="D196" s="125">
        <v>135650</v>
      </c>
      <c r="E196" s="73">
        <f t="shared" si="106"/>
        <v>2.8820629503223359E-2</v>
      </c>
      <c r="F196" s="136">
        <f>IF(ISNUMBER(D196), $B199 * E196, "")</f>
        <v>4323.094425483504</v>
      </c>
      <c r="G196" s="39">
        <v>132600</v>
      </c>
      <c r="H196" s="73">
        <f t="shared" si="107"/>
        <v>5.6882821387940841E-3</v>
      </c>
      <c r="I196" s="202">
        <f>IF(ISNUMBER(G196), $B199 * H196, "")</f>
        <v>853.24232081911259</v>
      </c>
      <c r="J196" s="125">
        <v>132000</v>
      </c>
      <c r="K196" s="73">
        <f t="shared" si="108"/>
        <v>1.1376564277588168E-3</v>
      </c>
      <c r="L196" s="136">
        <f>IF(ISNUMBER(J196), $B199 * K196, "")</f>
        <v>170.64846416382252</v>
      </c>
      <c r="M196" s="39">
        <v>130150</v>
      </c>
      <c r="N196" s="73">
        <f t="shared" si="109"/>
        <v>-1.2893439514599925E-2</v>
      </c>
      <c r="O196" s="136">
        <f>IF(ISNUMBER(M196), $B199 * N196, "")</f>
        <v>-1934.0159271899888</v>
      </c>
      <c r="Q196" s="275"/>
      <c r="R196" s="275"/>
      <c r="S196" s="275"/>
    </row>
    <row r="197" spans="1:19">
      <c r="A197" s="124" t="s">
        <v>140</v>
      </c>
      <c r="B197" s="125">
        <v>3960</v>
      </c>
      <c r="C197" s="73">
        <v>-4.5783132499999997E-2</v>
      </c>
      <c r="D197" s="125">
        <v>4235</v>
      </c>
      <c r="E197" s="73">
        <f t="shared" si="106"/>
        <v>6.9444444444444448E-2</v>
      </c>
      <c r="F197" s="136">
        <f>IF(ISNUMBER(D197), $B199 * E197, "")</f>
        <v>10416.666666666668</v>
      </c>
      <c r="G197" s="39">
        <v>4250</v>
      </c>
      <c r="H197" s="73">
        <f t="shared" si="107"/>
        <v>7.3232323232323232E-2</v>
      </c>
      <c r="I197" s="202">
        <f>IF(ISNUMBER(G197), $B199 * H197, "")</f>
        <v>10984.848484848484</v>
      </c>
      <c r="J197" s="125">
        <v>4285</v>
      </c>
      <c r="K197" s="73">
        <f t="shared" si="108"/>
        <v>8.2070707070707072E-2</v>
      </c>
      <c r="L197" s="136">
        <f>IF(ISNUMBER(J197), $B199 * K197, "")</f>
        <v>12310.60606060606</v>
      </c>
      <c r="M197" s="39">
        <v>4200</v>
      </c>
      <c r="N197" s="73">
        <f t="shared" si="109"/>
        <v>6.0606060606060608E-2</v>
      </c>
      <c r="O197" s="136">
        <f>IF(ISNUMBER(M197), $B199 * N197, "")</f>
        <v>9090.9090909090919</v>
      </c>
      <c r="Q197" s="297"/>
      <c r="R197" s="298"/>
      <c r="S197" s="299"/>
    </row>
    <row r="198" spans="1:19" ht="17.25" thickBot="1">
      <c r="A198" s="129" t="s">
        <v>242</v>
      </c>
      <c r="B198" s="130">
        <v>10340</v>
      </c>
      <c r="C198" s="75">
        <v>-6.7628494100000006E-2</v>
      </c>
      <c r="D198" s="130">
        <v>10730</v>
      </c>
      <c r="E198" s="75">
        <f t="shared" si="106"/>
        <v>3.7717601547388784E-2</v>
      </c>
      <c r="F198" s="137">
        <f>IF(ISNUMBER(D198), $B199 * E198, "")</f>
        <v>5657.6402321083178</v>
      </c>
      <c r="G198" s="37">
        <v>10550</v>
      </c>
      <c r="H198" s="75">
        <f t="shared" si="107"/>
        <v>2.0309477756286266E-2</v>
      </c>
      <c r="I198" s="207">
        <f>IF(ISNUMBER(G198), $B199 * H198, "")</f>
        <v>3046.4216634429399</v>
      </c>
      <c r="J198" s="130">
        <v>10420</v>
      </c>
      <c r="K198" s="75">
        <f t="shared" si="108"/>
        <v>7.7369439071566732E-3</v>
      </c>
      <c r="L198" s="137">
        <f>IF(ISNUMBER(J198), $B199 * K198, "")</f>
        <v>1160.5415860735009</v>
      </c>
      <c r="M198" s="37">
        <v>10090</v>
      </c>
      <c r="N198" s="75">
        <f t="shared" si="109"/>
        <v>-2.4177949709864602E-2</v>
      </c>
      <c r="O198" s="137">
        <f>IF(ISNUMBER(M198), $B199 * N198, "")</f>
        <v>-3626.6924564796905</v>
      </c>
      <c r="Q198" s="300"/>
      <c r="R198" s="301"/>
      <c r="S198" s="302"/>
    </row>
    <row r="199" spans="1:19" ht="17.25" thickBot="1">
      <c r="A199" s="131" t="s">
        <v>301</v>
      </c>
      <c r="B199" s="308">
        <f>$B$37</f>
        <v>150000</v>
      </c>
      <c r="C199" s="309"/>
      <c r="D199" s="131" t="s">
        <v>302</v>
      </c>
      <c r="E199" s="215">
        <f>IF(COUNT(E179:E198), SUM(E179:E198) / COUNT(E179:E198), 0)</f>
        <v>5.8842874429450562E-2</v>
      </c>
      <c r="F199" s="208">
        <f>SUM(F179:F198)</f>
        <v>176528.62328835172</v>
      </c>
      <c r="G199" s="131" t="s">
        <v>302</v>
      </c>
      <c r="H199" s="215">
        <f>IF(COUNT(H179:H198), SUM(H179:H198) / COUNT(H179:H198), 0)</f>
        <v>3.507070256590529E-2</v>
      </c>
      <c r="I199" s="208">
        <f>SUM(I179:I198)</f>
        <v>105212.10769771587</v>
      </c>
      <c r="J199" s="131" t="s">
        <v>302</v>
      </c>
      <c r="K199" s="215">
        <f>IF(COUNT(K179:K198), SUM(K179:K198) / COUNT(K179:K198), 0)</f>
        <v>3.3772675343432375E-2</v>
      </c>
      <c r="L199" s="208">
        <f>SUM(L179:L198)</f>
        <v>101318.02603029711</v>
      </c>
      <c r="M199" s="131" t="s">
        <v>302</v>
      </c>
      <c r="N199" s="215">
        <f>IF(COUNT(N179:N198), SUM(N179:N198) / COUNT(N179:N198), 0)</f>
        <v>1.1130279945033789E-2</v>
      </c>
      <c r="O199" s="208">
        <f>SUM(O179:O198)</f>
        <v>33390.839835101375</v>
      </c>
      <c r="Q199" s="303"/>
      <c r="R199" s="304"/>
      <c r="S199" s="30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9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9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91" priority="157">
      <formula>AND($N17 &gt; 0, ISNUMBER($N17))</formula>
    </cfRule>
    <cfRule type="expression" dxfId="890" priority="158">
      <formula>AND($N17 = 0 * ISNUMBER($N17))</formula>
    </cfRule>
    <cfRule type="expression" dxfId="889" priority="159">
      <formula>AND($N17 &lt; 0, ISNUMBER($N17))</formula>
    </cfRule>
  </conditionalFormatting>
  <conditionalFormatting sqref="A17:F36">
    <cfRule type="expression" dxfId="888" priority="166">
      <formula>AND($E17 &gt; 0, ISNUMBER($E17))</formula>
    </cfRule>
    <cfRule type="expression" dxfId="887" priority="167">
      <formula>AND($E17 = 0 * ISNUMBER($E17))</formula>
    </cfRule>
    <cfRule type="expression" dxfId="886" priority="168">
      <formula>AND($E17 &lt; 0, ISNUMBER($E17))</formula>
    </cfRule>
  </conditionalFormatting>
  <conditionalFormatting sqref="A17:C36 G17:I36">
    <cfRule type="expression" dxfId="885" priority="163">
      <formula>AND($H17 &gt; 0, ISNUMBER($H17))</formula>
    </cfRule>
    <cfRule type="expression" dxfId="884" priority="164">
      <formula>AND($H17 = 0 * ISNUMBER($H17))</formula>
    </cfRule>
    <cfRule type="expression" dxfId="883" priority="165">
      <formula>AND($H17 &lt; 0, ISNUMBER($H17))</formula>
    </cfRule>
  </conditionalFormatting>
  <conditionalFormatting sqref="A17:C36 J17:L36">
    <cfRule type="expression" dxfId="882" priority="160">
      <formula>AND($K17 &gt; 0, ISNUMBER($K17))</formula>
    </cfRule>
    <cfRule type="expression" dxfId="881" priority="161">
      <formula>AND($K17 = 0 * ISNUMBER($K17))</formula>
    </cfRule>
    <cfRule type="expression" dxfId="880" priority="162">
      <formula>AND($K17 &lt; 0, ISNUMBER($K17))</formula>
    </cfRule>
  </conditionalFormatting>
  <conditionalFormatting sqref="D15:F16 E37:F37">
    <cfRule type="expression" dxfId="879" priority="154">
      <formula>$E$37 &gt; 0</formula>
    </cfRule>
    <cfRule type="expression" dxfId="878" priority="155">
      <formula>$E$37 = 0</formula>
    </cfRule>
    <cfRule type="expression" dxfId="877" priority="156">
      <formula>$E$37 &lt; 0</formula>
    </cfRule>
  </conditionalFormatting>
  <conditionalFormatting sqref="G15:I16 H37:I37">
    <cfRule type="expression" dxfId="876" priority="151">
      <formula>$H$37 &gt; 0</formula>
    </cfRule>
    <cfRule type="expression" dxfId="875" priority="152">
      <formula>$H$37 = 0</formula>
    </cfRule>
    <cfRule type="expression" dxfId="874" priority="153">
      <formula>$H$37 &lt; 0</formula>
    </cfRule>
  </conditionalFormatting>
  <conditionalFormatting sqref="J15:L16 K37:L37">
    <cfRule type="expression" dxfId="873" priority="148">
      <formula>$K$37 &gt; 0</formula>
    </cfRule>
    <cfRule type="expression" dxfId="872" priority="149">
      <formula>$K$37 = 0</formula>
    </cfRule>
    <cfRule type="expression" dxfId="871" priority="150">
      <formula>$K$37 &lt; 0</formula>
    </cfRule>
  </conditionalFormatting>
  <conditionalFormatting sqref="M15:O16 N37:O37">
    <cfRule type="expression" dxfId="870" priority="145">
      <formula>$N$37 &gt; 0</formula>
    </cfRule>
    <cfRule type="expression" dxfId="869" priority="146">
      <formula>$N$37 = 0</formula>
    </cfRule>
    <cfRule type="expression" dxfId="868" priority="147">
      <formula>$N$37 &lt; 0</formula>
    </cfRule>
  </conditionalFormatting>
  <conditionalFormatting sqref="A44:C63 M44:O63">
    <cfRule type="expression" dxfId="867" priority="133">
      <formula>AND($N44 &gt; 0, ISNUMBER($N44))</formula>
    </cfRule>
    <cfRule type="expression" dxfId="866" priority="134">
      <formula>AND($N44 = 0 * ISNUMBER($N44))</formula>
    </cfRule>
    <cfRule type="expression" dxfId="865" priority="135">
      <formula>AND($N44 &lt; 0, ISNUMBER($N44))</formula>
    </cfRule>
  </conditionalFormatting>
  <conditionalFormatting sqref="A44:F63">
    <cfRule type="expression" dxfId="864" priority="142">
      <formula>AND($E44 &gt; 0, ISNUMBER($E44))</formula>
    </cfRule>
    <cfRule type="expression" dxfId="863" priority="143">
      <formula>AND($E44 = 0 * ISNUMBER($E44))</formula>
    </cfRule>
    <cfRule type="expression" dxfId="862" priority="144">
      <formula>AND($E44 &lt; 0, ISNUMBER($E44))</formula>
    </cfRule>
  </conditionalFormatting>
  <conditionalFormatting sqref="A44:C63 G44:I63">
    <cfRule type="expression" dxfId="861" priority="139">
      <formula>AND($H44 &gt; 0, ISNUMBER($H44))</formula>
    </cfRule>
    <cfRule type="expression" dxfId="860" priority="140">
      <formula>AND($H44 = 0 * ISNUMBER($H44))</formula>
    </cfRule>
    <cfRule type="expression" dxfId="859" priority="141">
      <formula>AND($H44 &lt; 0, ISNUMBER($H44))</formula>
    </cfRule>
  </conditionalFormatting>
  <conditionalFormatting sqref="A44:C63 J44:L63">
    <cfRule type="expression" dxfId="858" priority="136">
      <formula>AND($K44 &gt; 0, ISNUMBER($K44))</formula>
    </cfRule>
    <cfRule type="expression" dxfId="857" priority="137">
      <formula>AND($K44 = 0 * ISNUMBER($K44))</formula>
    </cfRule>
    <cfRule type="expression" dxfId="856" priority="138">
      <formula>AND($K44 &lt; 0, ISNUMBER($K44))</formula>
    </cfRule>
  </conditionalFormatting>
  <conditionalFormatting sqref="D42:F43 E64:F64">
    <cfRule type="expression" dxfId="855" priority="130">
      <formula>$E$64 &gt; 0</formula>
    </cfRule>
    <cfRule type="expression" dxfId="854" priority="131">
      <formula>$E$64 = 0</formula>
    </cfRule>
    <cfRule type="expression" dxfId="853" priority="132">
      <formula>$E$64 &lt; 0</formula>
    </cfRule>
  </conditionalFormatting>
  <conditionalFormatting sqref="G42:I43 H64:I64">
    <cfRule type="expression" dxfId="852" priority="127">
      <formula>$H$64 &gt; 0</formula>
    </cfRule>
    <cfRule type="expression" dxfId="851" priority="128">
      <formula>$H$64 = 0</formula>
    </cfRule>
    <cfRule type="expression" dxfId="850" priority="129">
      <formula>$H$64 &lt; 0</formula>
    </cfRule>
  </conditionalFormatting>
  <conditionalFormatting sqref="J42:L43 K64:L64">
    <cfRule type="expression" dxfId="849" priority="124">
      <formula>$K$64 &gt; 0</formula>
    </cfRule>
    <cfRule type="expression" dxfId="848" priority="125">
      <formula>$K$64 = 0</formula>
    </cfRule>
    <cfRule type="expression" dxfId="847" priority="126">
      <formula>$K$64 &lt; 0</formula>
    </cfRule>
  </conditionalFormatting>
  <conditionalFormatting sqref="M42:O43 N64:O64">
    <cfRule type="expression" dxfId="846" priority="121">
      <formula>$N$64 &gt; 0</formula>
    </cfRule>
    <cfRule type="expression" dxfId="845" priority="122">
      <formula>$N$64 = 0</formula>
    </cfRule>
    <cfRule type="expression" dxfId="844" priority="123">
      <formula>$N$64 &lt; 0</formula>
    </cfRule>
  </conditionalFormatting>
  <conditionalFormatting sqref="A71:C90 M71:O90">
    <cfRule type="expression" dxfId="843" priority="109">
      <formula>AND($N71 &gt; 0, ISNUMBER($N71))</formula>
    </cfRule>
    <cfRule type="expression" dxfId="842" priority="110">
      <formula>AND($N71 = 0 * ISNUMBER($N71))</formula>
    </cfRule>
    <cfRule type="expression" dxfId="841" priority="111">
      <formula>AND($N71 &lt; 0, ISNUMBER($N71))</formula>
    </cfRule>
  </conditionalFormatting>
  <conditionalFormatting sqref="A71:F90">
    <cfRule type="expression" dxfId="840" priority="118">
      <formula>AND($E71 &gt; 0, ISNUMBER($E71))</formula>
    </cfRule>
    <cfRule type="expression" dxfId="839" priority="119">
      <formula>AND($E71 = 0 * ISNUMBER($E71))</formula>
    </cfRule>
    <cfRule type="expression" dxfId="838" priority="120">
      <formula>AND($E71 &lt; 0, ISNUMBER($E71))</formula>
    </cfRule>
  </conditionalFormatting>
  <conditionalFormatting sqref="A71:C90 G71:I90">
    <cfRule type="expression" dxfId="837" priority="115">
      <formula>AND($H71 &gt; 0, ISNUMBER($H71))</formula>
    </cfRule>
    <cfRule type="expression" dxfId="836" priority="116">
      <formula>AND($H71 = 0 * ISNUMBER($H71))</formula>
    </cfRule>
    <cfRule type="expression" dxfId="835" priority="117">
      <formula>AND($H71 &lt; 0, ISNUMBER($H71))</formula>
    </cfRule>
  </conditionalFormatting>
  <conditionalFormatting sqref="A71:C90 J71:L90">
    <cfRule type="expression" dxfId="834" priority="112">
      <formula>AND($K71 &gt; 0, ISNUMBER($K71))</formula>
    </cfRule>
    <cfRule type="expression" dxfId="833" priority="113">
      <formula>AND($K71 = 0 * ISNUMBER($K71))</formula>
    </cfRule>
    <cfRule type="expression" dxfId="832" priority="114">
      <formula>AND($K71 &lt; 0, ISNUMBER($K71))</formula>
    </cfRule>
  </conditionalFormatting>
  <conditionalFormatting sqref="D69:F70 E91:F91">
    <cfRule type="expression" dxfId="831" priority="106">
      <formula>$E$91 &gt; 0</formula>
    </cfRule>
    <cfRule type="expression" dxfId="830" priority="107">
      <formula>$E$91 = 0</formula>
    </cfRule>
    <cfRule type="expression" dxfId="829" priority="108">
      <formula>$E$91 &lt; 0</formula>
    </cfRule>
  </conditionalFormatting>
  <conditionalFormatting sqref="G69:I70 H91:I91">
    <cfRule type="expression" dxfId="828" priority="103">
      <formula>$H$91 &gt; 0</formula>
    </cfRule>
    <cfRule type="expression" dxfId="827" priority="104">
      <formula>$H$91 = 0</formula>
    </cfRule>
    <cfRule type="expression" dxfId="826" priority="105">
      <formula>$H$91 &lt; 0</formula>
    </cfRule>
  </conditionalFormatting>
  <conditionalFormatting sqref="J69:L70 K91:L91">
    <cfRule type="expression" dxfId="825" priority="100">
      <formula>$K$91 &gt; 0</formula>
    </cfRule>
    <cfRule type="expression" dxfId="824" priority="101">
      <formula>$K$91 = 0</formula>
    </cfRule>
    <cfRule type="expression" dxfId="823" priority="102">
      <formula>$K$91 &lt; 0</formula>
    </cfRule>
  </conditionalFormatting>
  <conditionalFormatting sqref="M69:O70 N91:O91">
    <cfRule type="expression" dxfId="822" priority="97">
      <formula>$N$91 &gt; 0</formula>
    </cfRule>
    <cfRule type="expression" dxfId="821" priority="98">
      <formula>$N$91 = 0</formula>
    </cfRule>
    <cfRule type="expression" dxfId="820" priority="99">
      <formula>$N$91 &lt; 0</formula>
    </cfRule>
  </conditionalFormatting>
  <conditionalFormatting sqref="A98:C117 M98:O117">
    <cfRule type="expression" dxfId="819" priority="85">
      <formula>AND($N98 &gt; 0, ISNUMBER($N98))</formula>
    </cfRule>
    <cfRule type="expression" dxfId="818" priority="86">
      <formula>AND($N98 = 0 * ISNUMBER($N98))</formula>
    </cfRule>
    <cfRule type="expression" dxfId="817" priority="87">
      <formula>AND($N98 &lt; 0, ISNUMBER($N98))</formula>
    </cfRule>
  </conditionalFormatting>
  <conditionalFormatting sqref="A98:F117">
    <cfRule type="expression" dxfId="816" priority="94">
      <formula>AND($E98 &gt; 0, ISNUMBER($E98))</formula>
    </cfRule>
    <cfRule type="expression" dxfId="815" priority="95">
      <formula>AND($E98 = 0 * ISNUMBER($E98))</formula>
    </cfRule>
    <cfRule type="expression" dxfId="814" priority="96">
      <formula>AND($E98 &lt; 0, ISNUMBER($E98))</formula>
    </cfRule>
  </conditionalFormatting>
  <conditionalFormatting sqref="A98:C117 G98:I117">
    <cfRule type="expression" dxfId="813" priority="91">
      <formula>AND($H98 &gt; 0, ISNUMBER($H98))</formula>
    </cfRule>
    <cfRule type="expression" dxfId="812" priority="92">
      <formula>AND($H98 = 0 * ISNUMBER($H98))</formula>
    </cfRule>
    <cfRule type="expression" dxfId="811" priority="93">
      <formula>AND($H98 &lt; 0, ISNUMBER($H98))</formula>
    </cfRule>
  </conditionalFormatting>
  <conditionalFormatting sqref="A98:C117 J98:L117">
    <cfRule type="expression" dxfId="810" priority="88">
      <formula>AND($K98 &gt; 0, ISNUMBER($K98))</formula>
    </cfRule>
    <cfRule type="expression" dxfId="809" priority="89">
      <formula>AND($K98 = 0 * ISNUMBER($K98))</formula>
    </cfRule>
    <cfRule type="expression" dxfId="808" priority="90">
      <formula>AND($K98 &lt; 0, ISNUMBER($K98))</formula>
    </cfRule>
  </conditionalFormatting>
  <conditionalFormatting sqref="D96:F97 E118:F118">
    <cfRule type="expression" dxfId="807" priority="82">
      <formula>$E$118 &gt; 0</formula>
    </cfRule>
    <cfRule type="expression" dxfId="806" priority="83">
      <formula>$E$118 = 0</formula>
    </cfRule>
    <cfRule type="expression" dxfId="805" priority="84">
      <formula>$E$118 &lt; 0</formula>
    </cfRule>
  </conditionalFormatting>
  <conditionalFormatting sqref="G96:I97 H118:I118">
    <cfRule type="expression" dxfId="804" priority="79">
      <formula>$H$118 &gt; 0</formula>
    </cfRule>
    <cfRule type="expression" dxfId="803" priority="80">
      <formula>$H$118 = 0</formula>
    </cfRule>
    <cfRule type="expression" dxfId="802" priority="81">
      <formula>$H$118 &lt; 0</formula>
    </cfRule>
  </conditionalFormatting>
  <conditionalFormatting sqref="J96:L97 K118:L118">
    <cfRule type="expression" dxfId="801" priority="76">
      <formula>$K$118 &gt; 0</formula>
    </cfRule>
    <cfRule type="expression" dxfId="800" priority="77">
      <formula>$K$118 = 0</formula>
    </cfRule>
    <cfRule type="expression" dxfId="799" priority="78">
      <formula>$K$118 &lt; 0</formula>
    </cfRule>
  </conditionalFormatting>
  <conditionalFormatting sqref="M96:O97 N118:O118">
    <cfRule type="expression" dxfId="798" priority="73">
      <formula>$N$118 &gt; 0</formula>
    </cfRule>
    <cfRule type="expression" dxfId="797" priority="74">
      <formula>$N$118 = 0</formula>
    </cfRule>
    <cfRule type="expression" dxfId="796" priority="75">
      <formula>$N$118 &lt; 0</formula>
    </cfRule>
  </conditionalFormatting>
  <conditionalFormatting sqref="A125:C144 M125:O144">
    <cfRule type="expression" dxfId="795" priority="61">
      <formula>AND($N125 &gt; 0, ISNUMBER($N125))</formula>
    </cfRule>
    <cfRule type="expression" dxfId="794" priority="62">
      <formula>AND($N125 = 0 * ISNUMBER($N125))</formula>
    </cfRule>
    <cfRule type="expression" dxfId="793" priority="63">
      <formula>AND($N125 &lt; 0, ISNUMBER($N125))</formula>
    </cfRule>
  </conditionalFormatting>
  <conditionalFormatting sqref="A125:F144">
    <cfRule type="expression" dxfId="792" priority="70">
      <formula>AND($E125 &gt; 0, ISNUMBER($E125))</formula>
    </cfRule>
    <cfRule type="expression" dxfId="791" priority="71">
      <formula>AND($E125 = 0 * ISNUMBER($E125))</formula>
    </cfRule>
    <cfRule type="expression" dxfId="790" priority="72">
      <formula>AND($E125 &lt; 0, ISNUMBER($E125))</formula>
    </cfRule>
  </conditionalFormatting>
  <conditionalFormatting sqref="A125:C144 G125:I144">
    <cfRule type="expression" dxfId="789" priority="67">
      <formula>AND($H125 &gt; 0, ISNUMBER($H125))</formula>
    </cfRule>
    <cfRule type="expression" dxfId="788" priority="68">
      <formula>AND($H125 = 0 * ISNUMBER($H125))</formula>
    </cfRule>
    <cfRule type="expression" dxfId="787" priority="69">
      <formula>AND($H125 &lt; 0, ISNUMBER($H125))</formula>
    </cfRule>
  </conditionalFormatting>
  <conditionalFormatting sqref="A125:C144 J125:L144">
    <cfRule type="expression" dxfId="786" priority="64">
      <formula>AND($K125 &gt; 0, ISNUMBER($K125))</formula>
    </cfRule>
    <cfRule type="expression" dxfId="785" priority="65">
      <formula>AND($K125 = 0 * ISNUMBER($K125))</formula>
    </cfRule>
    <cfRule type="expression" dxfId="784" priority="66">
      <formula>AND($K125 &lt; 0, ISNUMBER($K125))</formula>
    </cfRule>
  </conditionalFormatting>
  <conditionalFormatting sqref="D123:F124 E145:F145">
    <cfRule type="expression" dxfId="783" priority="58">
      <formula>$E$145 &gt; 0</formula>
    </cfRule>
    <cfRule type="expression" dxfId="782" priority="59">
      <formula>$E$145 = 0</formula>
    </cfRule>
    <cfRule type="expression" dxfId="781" priority="60">
      <formula>$E$145 &lt; 0</formula>
    </cfRule>
  </conditionalFormatting>
  <conditionalFormatting sqref="G123:I124 H145:I145">
    <cfRule type="expression" dxfId="780" priority="55">
      <formula>$H$145 &gt; 0</formula>
    </cfRule>
    <cfRule type="expression" dxfId="779" priority="56">
      <formula>$H$145 = 0</formula>
    </cfRule>
    <cfRule type="expression" dxfId="778" priority="57">
      <formula>$H$145 &lt; 0</formula>
    </cfRule>
  </conditionalFormatting>
  <conditionalFormatting sqref="J123:L124 K145:L145">
    <cfRule type="expression" dxfId="777" priority="52">
      <formula>$K$145 &gt; 0</formula>
    </cfRule>
    <cfRule type="expression" dxfId="776" priority="53">
      <formula>$K$145 = 0</formula>
    </cfRule>
    <cfRule type="expression" dxfId="775" priority="54">
      <formula>$K$145 &lt; 0</formula>
    </cfRule>
  </conditionalFormatting>
  <conditionalFormatting sqref="M123:O124 N145:O145">
    <cfRule type="expression" dxfId="774" priority="49">
      <formula>$N$145 &gt; 0</formula>
    </cfRule>
    <cfRule type="expression" dxfId="773" priority="50">
      <formula>$N$145 = 0</formula>
    </cfRule>
    <cfRule type="expression" dxfId="772" priority="51">
      <formula>$N$145 &lt; 0</formula>
    </cfRule>
  </conditionalFormatting>
  <conditionalFormatting sqref="A152:C171 M152:O171">
    <cfRule type="expression" dxfId="771" priority="37">
      <formula>AND($N152 &gt; 0, ISNUMBER($N152))</formula>
    </cfRule>
    <cfRule type="expression" dxfId="770" priority="38">
      <formula>AND($N152 = 0 * ISNUMBER($N152))</formula>
    </cfRule>
    <cfRule type="expression" dxfId="769" priority="39">
      <formula>AND($N152 &lt; 0, ISNUMBER($N152))</formula>
    </cfRule>
  </conditionalFormatting>
  <conditionalFormatting sqref="A152:F171">
    <cfRule type="expression" dxfId="768" priority="46">
      <formula>AND($E152 &gt; 0, ISNUMBER($E152))</formula>
    </cfRule>
    <cfRule type="expression" dxfId="767" priority="47">
      <formula>AND($E152 = 0 * ISNUMBER($E152))</formula>
    </cfRule>
    <cfRule type="expression" dxfId="766" priority="48">
      <formula>AND($E152 &lt; 0, ISNUMBER($E152))</formula>
    </cfRule>
  </conditionalFormatting>
  <conditionalFormatting sqref="A152:C171 G152:I171">
    <cfRule type="expression" dxfId="765" priority="43">
      <formula>AND($H152 &gt; 0, ISNUMBER($H152))</formula>
    </cfRule>
    <cfRule type="expression" dxfId="764" priority="44">
      <formula>AND($H152 = 0 * ISNUMBER($H152))</formula>
    </cfRule>
    <cfRule type="expression" dxfId="763" priority="45">
      <formula>AND($H152 &lt; 0, ISNUMBER($H152))</formula>
    </cfRule>
  </conditionalFormatting>
  <conditionalFormatting sqref="A152:C171 J152:L171">
    <cfRule type="expression" dxfId="762" priority="40">
      <formula>AND($K152 &gt; 0, ISNUMBER($K152))</formula>
    </cfRule>
    <cfRule type="expression" dxfId="761" priority="41">
      <formula>AND($K152 = 0 * ISNUMBER($K152))</formula>
    </cfRule>
    <cfRule type="expression" dxfId="760" priority="42">
      <formula>AND($K152 &lt; 0, ISNUMBER($K152))</formula>
    </cfRule>
  </conditionalFormatting>
  <conditionalFormatting sqref="D150:F151 E172:F172">
    <cfRule type="expression" dxfId="759" priority="34">
      <formula>$E$172 &gt; 0</formula>
    </cfRule>
    <cfRule type="expression" dxfId="758" priority="35">
      <formula>$E$172 = 0</formula>
    </cfRule>
    <cfRule type="expression" dxfId="757" priority="36">
      <formula>$E$172 &lt; 0</formula>
    </cfRule>
  </conditionalFormatting>
  <conditionalFormatting sqref="G150:I151 H172:I172">
    <cfRule type="expression" dxfId="756" priority="31">
      <formula>$H$172 &gt; 0</formula>
    </cfRule>
    <cfRule type="expression" dxfId="755" priority="32">
      <formula>$H$172 = 0</formula>
    </cfRule>
    <cfRule type="expression" dxfId="754" priority="33">
      <formula>$H$172 &lt; 0</formula>
    </cfRule>
  </conditionalFormatting>
  <conditionalFormatting sqref="J150:L151 K172:L172">
    <cfRule type="expression" dxfId="753" priority="28">
      <formula>$K$172 &gt; 0</formula>
    </cfRule>
    <cfRule type="expression" dxfId="752" priority="29">
      <formula>$K$172 = 0</formula>
    </cfRule>
    <cfRule type="expression" dxfId="751" priority="30">
      <formula>$K$172 &lt; 0</formula>
    </cfRule>
  </conditionalFormatting>
  <conditionalFormatting sqref="M150:O151 N172:O172">
    <cfRule type="expression" dxfId="750" priority="25">
      <formula>$N$172 &gt; 0</formula>
    </cfRule>
    <cfRule type="expression" dxfId="749" priority="26">
      <formula>$N$172 = 0</formula>
    </cfRule>
    <cfRule type="expression" dxfId="748" priority="27">
      <formula>$N$172 &lt; 0</formula>
    </cfRule>
  </conditionalFormatting>
  <conditionalFormatting sqref="A179:C198 M179:O198">
    <cfRule type="expression" dxfId="747" priority="13">
      <formula>AND($N179 &gt; 0, ISNUMBER($N179))</formula>
    </cfRule>
    <cfRule type="expression" dxfId="746" priority="14">
      <formula>AND($N179 = 0 * ISNUMBER($N179))</formula>
    </cfRule>
    <cfRule type="expression" dxfId="745" priority="15">
      <formula>AND($N179 &lt; 0, ISNUMBER($N179))</formula>
    </cfRule>
  </conditionalFormatting>
  <conditionalFormatting sqref="A179:F198">
    <cfRule type="expression" dxfId="744" priority="22">
      <formula>AND($E179 &gt; 0, ISNUMBER($E179))</formula>
    </cfRule>
    <cfRule type="expression" dxfId="743" priority="23">
      <formula>AND($E179 = 0 * ISNUMBER($E179))</formula>
    </cfRule>
    <cfRule type="expression" dxfId="742" priority="24">
      <formula>AND($E179 &lt; 0, ISNUMBER($E179))</formula>
    </cfRule>
  </conditionalFormatting>
  <conditionalFormatting sqref="A179:C198 G179:I198">
    <cfRule type="expression" dxfId="741" priority="19">
      <formula>AND($H179 &gt; 0, ISNUMBER($H179))</formula>
    </cfRule>
    <cfRule type="expression" dxfId="740" priority="20">
      <formula>AND($H179 = 0 * ISNUMBER($H179))</formula>
    </cfRule>
    <cfRule type="expression" dxfId="739" priority="21">
      <formula>AND($H179 &lt; 0, ISNUMBER($H179))</formula>
    </cfRule>
  </conditionalFormatting>
  <conditionalFormatting sqref="A179:C198 J179:L198">
    <cfRule type="expression" dxfId="738" priority="16">
      <formula>AND($K179 &gt; 0, ISNUMBER($K179))</formula>
    </cfRule>
    <cfRule type="expression" dxfId="737" priority="17">
      <formula>AND($K179 = 0 * ISNUMBER($K179))</formula>
    </cfRule>
    <cfRule type="expression" dxfId="736" priority="18">
      <formula>AND($K179 &lt; 0, ISNUMBER($K179))</formula>
    </cfRule>
  </conditionalFormatting>
  <conditionalFormatting sqref="D177:F178 E199:F199">
    <cfRule type="expression" dxfId="735" priority="10">
      <formula>$E$199 &gt; 0</formula>
    </cfRule>
    <cfRule type="expression" dxfId="734" priority="11">
      <formula>$E$199 = 0</formula>
    </cfRule>
    <cfRule type="expression" dxfId="733" priority="12">
      <formula>$E$199 &lt; 0</formula>
    </cfRule>
  </conditionalFormatting>
  <conditionalFormatting sqref="G177:I178 H199:I199">
    <cfRule type="expression" dxfId="732" priority="7">
      <formula>$H$199 &gt; 0</formula>
    </cfRule>
    <cfRule type="expression" dxfId="731" priority="8">
      <formula>$H$199 = 0</formula>
    </cfRule>
    <cfRule type="expression" dxfId="730" priority="9">
      <formula>$H$199 &lt; 0</formula>
    </cfRule>
  </conditionalFormatting>
  <conditionalFormatting sqref="J177:L178 K199:L199">
    <cfRule type="expression" dxfId="729" priority="4">
      <formula>$K$199 &gt; 0</formula>
    </cfRule>
    <cfRule type="expression" dxfId="728" priority="5">
      <formula>$K$199 = 0</formula>
    </cfRule>
    <cfRule type="expression" dxfId="727" priority="6">
      <formula>$K$199 &lt; 0</formula>
    </cfRule>
  </conditionalFormatting>
  <conditionalFormatting sqref="M177:O178 N199:O199">
    <cfRule type="expression" dxfId="726" priority="1">
      <formula>$N$199 &gt; 0</formula>
    </cfRule>
    <cfRule type="expression" dxfId="725" priority="2">
      <formula>$N$199 = 0</formula>
    </cfRule>
    <cfRule type="expression" dxfId="7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78F57-9A05-4460-AC40-BC1BF771D005}">
  <sheetPr codeName="Sheet19"/>
  <dimension ref="A1:S199"/>
  <sheetViews>
    <sheetView topLeftCell="A9" zoomScaleNormal="100" workbookViewId="0">
      <selection activeCell="A17" sqref="A17:A36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5.25" style="119" bestFit="1" customWidth="1"/>
    <col min="10" max="10" width="14.2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5.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49" t="s">
        <v>0</v>
      </c>
      <c r="B1" s="250"/>
      <c r="C1" s="250"/>
      <c r="D1" s="250"/>
      <c r="E1" s="250"/>
      <c r="F1" s="251"/>
      <c r="G1" s="252">
        <v>44329</v>
      </c>
      <c r="H1" s="253"/>
      <c r="I1" s="254"/>
      <c r="J1" s="249" t="s">
        <v>1</v>
      </c>
      <c r="K1" s="250"/>
      <c r="L1" s="250"/>
      <c r="M1" s="250"/>
      <c r="N1" s="250"/>
      <c r="O1" s="251"/>
      <c r="Q1" s="249" t="s">
        <v>2</v>
      </c>
      <c r="R1" s="251"/>
    </row>
    <row r="2" spans="1:19" ht="17.25" customHeight="1">
      <c r="A2" s="116" t="s">
        <v>3</v>
      </c>
      <c r="B2" s="323" t="s">
        <v>8</v>
      </c>
      <c r="C2" s="324"/>
      <c r="D2" s="324"/>
      <c r="E2" s="324"/>
      <c r="F2" s="325"/>
      <c r="G2" s="258" t="s">
        <v>46</v>
      </c>
      <c r="H2" s="259"/>
      <c r="I2" s="260"/>
      <c r="J2" s="116" t="s">
        <v>3</v>
      </c>
      <c r="K2" s="323" t="s">
        <v>376</v>
      </c>
      <c r="L2" s="324"/>
      <c r="M2" s="324"/>
      <c r="N2" s="324"/>
      <c r="O2" s="325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20" t="s">
        <v>384</v>
      </c>
      <c r="C3" s="321"/>
      <c r="D3" s="321"/>
      <c r="E3" s="321"/>
      <c r="F3" s="322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-321,261 KRW (-10.71%)</v>
      </c>
      <c r="H3" s="265"/>
      <c r="I3" s="266"/>
      <c r="J3" s="117" t="s">
        <v>7</v>
      </c>
      <c r="K3" s="320" t="s">
        <v>377</v>
      </c>
      <c r="L3" s="321"/>
      <c r="M3" s="321"/>
      <c r="N3" s="321"/>
      <c r="O3" s="322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20" t="s">
        <v>16</v>
      </c>
      <c r="C4" s="321"/>
      <c r="D4" s="321"/>
      <c r="E4" s="321"/>
      <c r="F4" s="322"/>
      <c r="G4" s="258" t="s">
        <v>44</v>
      </c>
      <c r="H4" s="259"/>
      <c r="I4" s="260"/>
      <c r="J4" s="117" t="s">
        <v>11</v>
      </c>
      <c r="K4" s="320" t="s">
        <v>378</v>
      </c>
      <c r="L4" s="321"/>
      <c r="M4" s="321"/>
      <c r="N4" s="321"/>
      <c r="O4" s="322"/>
      <c r="Q4" s="220" t="s">
        <v>14</v>
      </c>
      <c r="R4" s="198">
        <v>0.95833333333333337</v>
      </c>
    </row>
    <row r="5" spans="1:19" ht="17.25" customHeight="1" thickBot="1">
      <c r="A5" s="117" t="s">
        <v>15</v>
      </c>
      <c r="B5" s="320" t="s">
        <v>374</v>
      </c>
      <c r="C5" s="321"/>
      <c r="D5" s="321"/>
      <c r="E5" s="321"/>
      <c r="F5" s="322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-319,015 KRW (-11.19%)</v>
      </c>
      <c r="H5" s="265"/>
      <c r="I5" s="266"/>
      <c r="J5" s="117" t="s">
        <v>15</v>
      </c>
      <c r="K5" s="320" t="s">
        <v>379</v>
      </c>
      <c r="L5" s="321"/>
      <c r="M5" s="321"/>
      <c r="N5" s="321"/>
      <c r="O5" s="322"/>
    </row>
    <row r="6" spans="1:19">
      <c r="A6" s="117" t="s">
        <v>18</v>
      </c>
      <c r="B6" s="320"/>
      <c r="C6" s="321"/>
      <c r="D6" s="321"/>
      <c r="E6" s="321"/>
      <c r="F6" s="322"/>
      <c r="G6" s="258" t="s">
        <v>45</v>
      </c>
      <c r="H6" s="259"/>
      <c r="I6" s="260"/>
      <c r="J6" s="117" t="s">
        <v>18</v>
      </c>
      <c r="K6" s="320" t="s">
        <v>380</v>
      </c>
      <c r="L6" s="321"/>
      <c r="M6" s="321"/>
      <c r="N6" s="321"/>
      <c r="O6" s="322"/>
    </row>
    <row r="7" spans="1:19" ht="17.25" thickBot="1">
      <c r="A7" s="117" t="s">
        <v>21</v>
      </c>
      <c r="B7" s="320"/>
      <c r="C7" s="321"/>
      <c r="D7" s="321"/>
      <c r="E7" s="321"/>
      <c r="F7" s="322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-347,312 KRW (-11.58%)</v>
      </c>
      <c r="H7" s="265"/>
      <c r="I7" s="266"/>
      <c r="J7" s="117" t="s">
        <v>21</v>
      </c>
      <c r="K7" s="320" t="s">
        <v>381</v>
      </c>
      <c r="L7" s="321"/>
      <c r="M7" s="321"/>
      <c r="N7" s="321"/>
      <c r="O7" s="322"/>
    </row>
    <row r="8" spans="1:19" ht="17.25" thickBot="1">
      <c r="A8" s="117" t="s">
        <v>24</v>
      </c>
      <c r="B8" s="320"/>
      <c r="C8" s="321"/>
      <c r="D8" s="321"/>
      <c r="E8" s="321"/>
      <c r="F8" s="322"/>
      <c r="G8" s="258" t="s">
        <v>285</v>
      </c>
      <c r="H8" s="259"/>
      <c r="I8" s="260"/>
      <c r="J8" s="117" t="s">
        <v>24</v>
      </c>
      <c r="K8" s="320"/>
      <c r="L8" s="321"/>
      <c r="M8" s="321"/>
      <c r="N8" s="321"/>
      <c r="O8" s="322"/>
      <c r="Q8" s="249" t="s">
        <v>27</v>
      </c>
      <c r="R8" s="251"/>
    </row>
    <row r="9" spans="1:19" ht="17.25" thickBot="1">
      <c r="A9" s="117" t="s">
        <v>28</v>
      </c>
      <c r="B9" s="320"/>
      <c r="C9" s="321"/>
      <c r="D9" s="321"/>
      <c r="E9" s="321"/>
      <c r="F9" s="322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-332,214 KRW (-11.07%)</v>
      </c>
      <c r="H9" s="265"/>
      <c r="I9" s="266"/>
      <c r="J9" s="117" t="s">
        <v>28</v>
      </c>
      <c r="K9" s="320"/>
      <c r="L9" s="321"/>
      <c r="M9" s="321"/>
      <c r="N9" s="321"/>
      <c r="O9" s="322"/>
      <c r="Q9" s="120" t="s">
        <v>29</v>
      </c>
      <c r="R9" s="199">
        <v>10</v>
      </c>
    </row>
    <row r="10" spans="1:19">
      <c r="A10" s="117" t="s">
        <v>30</v>
      </c>
      <c r="B10" s="320"/>
      <c r="C10" s="321"/>
      <c r="D10" s="321"/>
      <c r="E10" s="321"/>
      <c r="F10" s="322"/>
      <c r="G10" s="258" t="s">
        <v>47</v>
      </c>
      <c r="H10" s="259"/>
      <c r="I10" s="260"/>
      <c r="J10" s="117" t="s">
        <v>30</v>
      </c>
      <c r="K10" s="320" t="s">
        <v>382</v>
      </c>
      <c r="L10" s="321"/>
      <c r="M10" s="321"/>
      <c r="N10" s="321"/>
      <c r="O10" s="322"/>
      <c r="Q10" s="120" t="s">
        <v>31</v>
      </c>
      <c r="R10" s="199">
        <v>100</v>
      </c>
    </row>
    <row r="11" spans="1:19" ht="17.25" thickBot="1">
      <c r="A11" s="118" t="s">
        <v>32</v>
      </c>
      <c r="B11" s="317" t="s">
        <v>383</v>
      </c>
      <c r="C11" s="318"/>
      <c r="D11" s="318"/>
      <c r="E11" s="318"/>
      <c r="F11" s="319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-338,848 KRW (-11.29%)</v>
      </c>
      <c r="H11" s="265"/>
      <c r="I11" s="266"/>
      <c r="J11" s="118" t="s">
        <v>32</v>
      </c>
      <c r="K11" s="317" t="s">
        <v>373</v>
      </c>
      <c r="L11" s="318"/>
      <c r="M11" s="318"/>
      <c r="N11" s="318"/>
      <c r="O11" s="319"/>
      <c r="Q11" s="220" t="s">
        <v>33</v>
      </c>
      <c r="R11" s="200">
        <v>1000</v>
      </c>
    </row>
    <row r="12" spans="1:19" ht="17.25" thickBot="1"/>
    <row r="13" spans="1:19" ht="17.25" customHeight="1" thickBot="1">
      <c r="A13" s="249" t="s">
        <v>34</v>
      </c>
      <c r="B13" s="250"/>
      <c r="C13" s="250"/>
      <c r="D13" s="250"/>
      <c r="E13" s="250"/>
      <c r="F13" s="250"/>
      <c r="G13" s="250"/>
      <c r="H13" s="250"/>
      <c r="I13" s="250"/>
      <c r="J13" s="250"/>
      <c r="K13" s="250"/>
      <c r="L13" s="250"/>
      <c r="M13" s="250"/>
      <c r="N13" s="250"/>
      <c r="O13" s="251"/>
      <c r="Q13" s="270"/>
      <c r="R13" s="270"/>
      <c r="S13" s="270"/>
    </row>
    <row r="14" spans="1:19" ht="17.25" customHeight="1" thickBot="1">
      <c r="A14" s="217" t="s">
        <v>35</v>
      </c>
      <c r="B14" s="249" t="s">
        <v>36</v>
      </c>
      <c r="C14" s="251"/>
      <c r="D14" s="249" t="s">
        <v>37</v>
      </c>
      <c r="E14" s="250"/>
      <c r="F14" s="251"/>
      <c r="G14" s="276">
        <f>_xlfn.IFNA(VLOOKUP(B14, 현재가테이블!$B$2:$D$200, 2, FALSE), "-")</f>
        <v>60874000</v>
      </c>
      <c r="H14" s="277"/>
      <c r="I14" s="278"/>
      <c r="J14" s="249" t="s">
        <v>38</v>
      </c>
      <c r="K14" s="250"/>
      <c r="L14" s="251"/>
      <c r="M14" s="279">
        <f>_xlfn.IFNA(VLOOKUP(B14, 현재가테이블!$B$2:$D$200, 3, FALSE), "-")</f>
        <v>-1.4936000099999999E-2</v>
      </c>
      <c r="N14" s="280"/>
      <c r="O14" s="281"/>
      <c r="Q14" s="270"/>
      <c r="R14" s="270"/>
      <c r="S14" s="270"/>
    </row>
    <row r="15" spans="1:19" ht="17.25" customHeight="1" thickBot="1">
      <c r="A15" s="314" t="s">
        <v>39</v>
      </c>
      <c r="B15" s="315" t="str">
        <f>TEXT($G$1, "[$-ko-KR]yyyy-mm-dd(ddd) ") &amp; "오전 00:00"</f>
        <v>2021-05-13(목) 오전 00:00</v>
      </c>
      <c r="C15" s="316"/>
      <c r="D15" s="249" t="str">
        <f>TEXT($G$1, "[$-ko-KR]yyyy-mm-dd(ddd) ") &amp; "오후 14:00"</f>
        <v>2021-05-13(목) 오후 14:00</v>
      </c>
      <c r="E15" s="250"/>
      <c r="F15" s="251"/>
      <c r="G15" s="249" t="str">
        <f>TEXT($G$1, "[$-ko-KR]yyyy-mm-dd(ddd) ") &amp; "오후 19:00"</f>
        <v>2021-05-13(목) 오후 19:00</v>
      </c>
      <c r="H15" s="250"/>
      <c r="I15" s="251"/>
      <c r="J15" s="249" t="str">
        <f>TEXT($G$1, "[$-ko-KR]yyyy-mm-dd(ddd) ") &amp; "오후 21:00"</f>
        <v>2021-05-13(목) 오후 21:00</v>
      </c>
      <c r="K15" s="250"/>
      <c r="L15" s="251"/>
      <c r="M15" s="249" t="str">
        <f>TEXT($G$1+1, "[$-ko-KR]yyyy-mm-dd(ddd) ") &amp; "오전 00:00"</f>
        <v>2021-05-14(금) 오전 00:00</v>
      </c>
      <c r="N15" s="250"/>
      <c r="O15" s="251"/>
      <c r="Q15" s="270"/>
      <c r="R15" s="270"/>
      <c r="S15" s="270"/>
    </row>
    <row r="16" spans="1:19" ht="17.25" customHeight="1" thickBot="1">
      <c r="A16" s="314"/>
      <c r="B16" s="120" t="s">
        <v>37</v>
      </c>
      <c r="C16" s="121" t="s">
        <v>38</v>
      </c>
      <c r="D16" s="120" t="s">
        <v>37</v>
      </c>
      <c r="E16" s="121" t="s">
        <v>40</v>
      </c>
      <c r="F16" s="224" t="s">
        <v>41</v>
      </c>
      <c r="G16" s="217" t="s">
        <v>37</v>
      </c>
      <c r="H16" s="218" t="s">
        <v>40</v>
      </c>
      <c r="I16" s="219" t="s">
        <v>41</v>
      </c>
      <c r="J16" s="121" t="s">
        <v>37</v>
      </c>
      <c r="K16" s="121" t="s">
        <v>40</v>
      </c>
      <c r="L16" s="221" t="s">
        <v>41</v>
      </c>
      <c r="M16" s="120" t="s">
        <v>37</v>
      </c>
      <c r="N16" s="121" t="s">
        <v>40</v>
      </c>
      <c r="O16" s="222" t="s">
        <v>41</v>
      </c>
      <c r="Q16" s="275"/>
      <c r="R16" s="275"/>
      <c r="S16" s="275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160</v>
      </c>
      <c r="C17" s="72">
        <f>IF(NOT(ISBLANK(_xlfn.IFNA(VLOOKUP($A17, $A$40:$O$199, 3, FALSE), ))), _xlfn.IFNA(VLOOKUP($A17, $A$40:$O$199, 3, FALSE), ), "")</f>
        <v>1.9108280299999999E-2</v>
      </c>
      <c r="D17" s="123">
        <f>IF(NOT(ISBLANK(_xlfn.IFNA(VLOOKUP($A17, $A$40:$O$199, 4, FALSE), ))), _xlfn.IFNA(VLOOKUP($A17, $A$40:$O$199, 4, FALSE), ), "")</f>
        <v>147</v>
      </c>
      <c r="E17" s="72">
        <f>IF(NOT(ISBLANK(_xlfn.IFNA(VLOOKUP($A17, $A$40:$O$199, 5, FALSE), ))), _xlfn.IFNA(VLOOKUP($A17, $A$40:$O$199, 5, FALSE), ), "")</f>
        <v>-8.1250000000000003E-2</v>
      </c>
      <c r="F17" s="140">
        <f>IF(NOT(ISBLANK(_xlfn.IFNA(VLOOKUP($A17, $A$40:$O$199, 6, FALSE), ))), _xlfn.IFNA(VLOOKUP($A17, $A$40:$O$199, 6, FALSE), ), "")</f>
        <v>-12187.5</v>
      </c>
      <c r="G17" s="38">
        <f>IF(NOT(ISBLANK(_xlfn.IFNA(VLOOKUP($A17, $A$40:$O$199, 7, FALSE), ))), _xlfn.IFNA(VLOOKUP($A17, $A$40:$O$199, 7, FALSE), ), "")</f>
        <v>138</v>
      </c>
      <c r="H17" s="72">
        <f>IF(NOT(ISBLANK(_xlfn.IFNA(VLOOKUP($A17, $A$40:$O$199, 8, FALSE), ))), _xlfn.IFNA(VLOOKUP($A17, $A$40:$O$199, 8, FALSE), ), "")</f>
        <v>-0.13750000000000001</v>
      </c>
      <c r="I17" s="201">
        <f>IF(NOT(ISBLANK(_xlfn.IFNA(VLOOKUP($A17, $A$40:$O$199, 9, FALSE), ))), _xlfn.IFNA(VLOOKUP($A17, $A$40:$O$199, 9, FALSE), ), "")</f>
        <v>-20625</v>
      </c>
      <c r="J17" s="123">
        <f>IF(NOT(ISBLANK(_xlfn.IFNA(VLOOKUP($A17, $A$40:$O$199, 10, FALSE), ))), _xlfn.IFNA(VLOOKUP($A17, $A$40:$O$199, 10, FALSE), ), "")</f>
        <v>142</v>
      </c>
      <c r="K17" s="72">
        <f>IF(NOT(ISBLANK(_xlfn.IFNA(VLOOKUP($A17, $A$40:$O$199, 11, FALSE), ))), _xlfn.IFNA(VLOOKUP($A17, $A$40:$O$199, 11, FALSE), ), "")</f>
        <v>-0.1125</v>
      </c>
      <c r="L17" s="140">
        <f>IF(NOT(ISBLANK(_xlfn.IFNA(VLOOKUP($A17, $A$40:$O$199, 12, FALSE), ))), _xlfn.IFNA(VLOOKUP($A17, $A$40:$O$199, 12, FALSE), ), "")</f>
        <v>-16875</v>
      </c>
      <c r="M17" s="38">
        <f>IF(NOT(ISBLANK(_xlfn.IFNA(VLOOKUP($A17, $A$40:$O$199, 13, FALSE), ))), _xlfn.IFNA(VLOOKUP($A17, $A$40:$O$199, 13, FALSE), ), "")</f>
        <v>141</v>
      </c>
      <c r="N17" s="72">
        <f>IF(NOT(ISBLANK(_xlfn.IFNA(VLOOKUP($A17, $A$40:$O$199, 14, FALSE), ))), _xlfn.IFNA(VLOOKUP($A17, $A$40:$O$199, 14, FALSE), ), "")</f>
        <v>-0.11874999999999999</v>
      </c>
      <c r="O17" s="140">
        <f>IF(NOT(ISBLANK(_xlfn.IFNA(VLOOKUP($A17, $A$40:$O$199, 15, FALSE), ))), _xlfn.IFNA(VLOOKUP($A17, $A$40:$O$199, 15, FALSE), ), "")</f>
        <v>-17812.5</v>
      </c>
      <c r="Q17" s="270"/>
      <c r="R17" s="270"/>
      <c r="S17" s="270"/>
    </row>
    <row r="18" spans="1:19" ht="17.25" customHeight="1" thickBot="1">
      <c r="A18" s="124" t="s">
        <v>256</v>
      </c>
      <c r="B18" s="125">
        <f t="shared" ref="B18:B36" si="0">IF(NOT(ISBLANK(_xlfn.IFNA(VLOOKUP($A18, $A$40:$O$199, 2, FALSE), ))), _xlfn.IFNA(VLOOKUP($A18, $A$40:$O$199, 2, FALSE), ), "")</f>
        <v>247</v>
      </c>
      <c r="C18" s="73">
        <f t="shared" ref="C18:C36" si="1">IF(NOT(ISBLANK(_xlfn.IFNA(VLOOKUP($A18, $A$40:$O$199, 3, FALSE), ))), _xlfn.IFNA(VLOOKUP($A18, $A$40:$O$199, 3, FALSE), ), "")</f>
        <v>1.6460905299999998E-2</v>
      </c>
      <c r="D18" s="125">
        <f t="shared" ref="D18:D36" si="2">IF(NOT(ISBLANK(_xlfn.IFNA(VLOOKUP($A18, $A$40:$O$199, 4, FALSE), ))), _xlfn.IFNA(VLOOKUP($A18, $A$40:$O$199, 4, FALSE), ), "")</f>
        <v>224</v>
      </c>
      <c r="E18" s="73">
        <f t="shared" ref="E18:E36" si="3">IF(NOT(ISBLANK(_xlfn.IFNA(VLOOKUP($A18, $A$40:$O$199, 5, FALSE), ))), _xlfn.IFNA(VLOOKUP($A18, $A$40:$O$199, 5, FALSE), ), "")</f>
        <v>-9.3117408906882596E-2</v>
      </c>
      <c r="F18" s="136">
        <f t="shared" ref="F18:F36" si="4">IF(NOT(ISBLANK(_xlfn.IFNA(VLOOKUP($A18, $A$40:$O$199, 6, FALSE), ))), _xlfn.IFNA(VLOOKUP($A18, $A$40:$O$199, 6, FALSE), ), "")</f>
        <v>-13967.611336032389</v>
      </c>
      <c r="G18" s="39">
        <f t="shared" ref="G18:G36" si="5">IF(NOT(ISBLANK(_xlfn.IFNA(VLOOKUP($A18, $A$40:$O$199, 7, FALSE), ))), _xlfn.IFNA(VLOOKUP($A18, $A$40:$O$199, 7, FALSE), ), "")</f>
        <v>232</v>
      </c>
      <c r="H18" s="73">
        <f t="shared" ref="H18:H36" si="6">IF(NOT(ISBLANK(_xlfn.IFNA(VLOOKUP($A18, $A$40:$O$199, 8, FALSE), ))), _xlfn.IFNA(VLOOKUP($A18, $A$40:$O$199, 8, FALSE), ), "")</f>
        <v>-6.0728744939271252E-2</v>
      </c>
      <c r="I18" s="202">
        <f t="shared" ref="I18:I36" si="7">IF(NOT(ISBLANK(_xlfn.IFNA(VLOOKUP($A18, $A$40:$O$199, 9, FALSE), ))), _xlfn.IFNA(VLOOKUP($A18, $A$40:$O$199, 9, FALSE), ), "")</f>
        <v>-9109.3117408906874</v>
      </c>
      <c r="J18" s="125">
        <f t="shared" ref="J18:J36" si="8">IF(NOT(ISBLANK(_xlfn.IFNA(VLOOKUP($A18, $A$40:$O$199, 10, FALSE), ))), _xlfn.IFNA(VLOOKUP($A18, $A$40:$O$199, 10, FALSE), ), "")</f>
        <v>232</v>
      </c>
      <c r="K18" s="73">
        <f t="shared" ref="K18:K36" si="9">IF(NOT(ISBLANK(_xlfn.IFNA(VLOOKUP($A18, $A$40:$O$199, 11, FALSE), ))), _xlfn.IFNA(VLOOKUP($A18, $A$40:$O$199, 11, FALSE), ), "")</f>
        <v>-6.0728744939271252E-2</v>
      </c>
      <c r="L18" s="136">
        <f t="shared" ref="L18:L36" si="10">IF(NOT(ISBLANK(_xlfn.IFNA(VLOOKUP($A18, $A$40:$O$199, 12, FALSE), ))), _xlfn.IFNA(VLOOKUP($A18, $A$40:$O$199, 12, FALSE), ), "")</f>
        <v>-9109.3117408906874</v>
      </c>
      <c r="M18" s="39">
        <f t="shared" ref="M18:M36" si="11">IF(NOT(ISBLANK(_xlfn.IFNA(VLOOKUP($A18, $A$40:$O$199, 13, FALSE), ))), _xlfn.IFNA(VLOOKUP($A18, $A$40:$O$199, 13, FALSE), ), "")</f>
        <v>229</v>
      </c>
      <c r="N18" s="73">
        <f t="shared" ref="N18:N36" si="12">IF(NOT(ISBLANK(_xlfn.IFNA(VLOOKUP($A18, $A$40:$O$199, 14, FALSE), ))), _xlfn.IFNA(VLOOKUP($A18, $A$40:$O$199, 14, FALSE), ), "")</f>
        <v>-7.28744939271255E-2</v>
      </c>
      <c r="O18" s="136">
        <f t="shared" ref="O18:O36" si="13">IF(NOT(ISBLANK(_xlfn.IFNA(VLOOKUP($A18, $A$40:$O$199, 15, FALSE), ))), _xlfn.IFNA(VLOOKUP($A18, $A$40:$O$199, 15, FALSE), ), "")</f>
        <v>-10931.174089068825</v>
      </c>
      <c r="Q18" s="270"/>
      <c r="R18" s="270"/>
      <c r="S18" s="270"/>
    </row>
    <row r="19" spans="1:19" ht="17.25" customHeight="1" thickBot="1">
      <c r="A19" s="124" t="s">
        <v>120</v>
      </c>
      <c r="B19" s="125">
        <f t="shared" si="0"/>
        <v>215</v>
      </c>
      <c r="C19" s="73">
        <f t="shared" si="1"/>
        <v>1.4150943399999999E-2</v>
      </c>
      <c r="D19" s="125">
        <f t="shared" si="2"/>
        <v>203</v>
      </c>
      <c r="E19" s="73">
        <f t="shared" si="3"/>
        <v>-5.5813953488372092E-2</v>
      </c>
      <c r="F19" s="136">
        <f t="shared" si="4"/>
        <v>-8372.093023255813</v>
      </c>
      <c r="G19" s="39">
        <f t="shared" si="5"/>
        <v>197</v>
      </c>
      <c r="H19" s="73">
        <f t="shared" si="6"/>
        <v>-8.3720930232558138E-2</v>
      </c>
      <c r="I19" s="202">
        <f t="shared" si="7"/>
        <v>-12558.139534883721</v>
      </c>
      <c r="J19" s="125">
        <f t="shared" si="8"/>
        <v>199</v>
      </c>
      <c r="K19" s="73">
        <f t="shared" si="9"/>
        <v>-7.441860465116279E-2</v>
      </c>
      <c r="L19" s="136">
        <f t="shared" si="10"/>
        <v>-11162.790697674418</v>
      </c>
      <c r="M19" s="39">
        <f t="shared" si="11"/>
        <v>199</v>
      </c>
      <c r="N19" s="73">
        <f t="shared" si="12"/>
        <v>-7.441860465116279E-2</v>
      </c>
      <c r="O19" s="136">
        <f t="shared" si="13"/>
        <v>-11162.790697674418</v>
      </c>
      <c r="Q19" s="275"/>
      <c r="R19" s="275"/>
      <c r="S19" s="275"/>
    </row>
    <row r="20" spans="1:19" ht="17.25" customHeight="1" thickBot="1">
      <c r="A20" s="124" t="s">
        <v>264</v>
      </c>
      <c r="B20" s="125">
        <f t="shared" si="0"/>
        <v>166</v>
      </c>
      <c r="C20" s="73">
        <f t="shared" si="1"/>
        <v>6.0606061000000001E-3</v>
      </c>
      <c r="D20" s="125">
        <f t="shared" si="2"/>
        <v>152</v>
      </c>
      <c r="E20" s="73">
        <f t="shared" si="3"/>
        <v>-8.4337349397590355E-2</v>
      </c>
      <c r="F20" s="136">
        <f t="shared" si="4"/>
        <v>-12650.602409638554</v>
      </c>
      <c r="G20" s="39">
        <f t="shared" si="5"/>
        <v>144</v>
      </c>
      <c r="H20" s="73">
        <f t="shared" si="6"/>
        <v>-0.13253012048192772</v>
      </c>
      <c r="I20" s="202">
        <f t="shared" si="7"/>
        <v>-19879.518072289156</v>
      </c>
      <c r="J20" s="125">
        <f t="shared" si="8"/>
        <v>148</v>
      </c>
      <c r="K20" s="73">
        <f t="shared" si="9"/>
        <v>-0.10843373493975904</v>
      </c>
      <c r="L20" s="136">
        <f t="shared" si="10"/>
        <v>-16265.060240963856</v>
      </c>
      <c r="M20" s="39">
        <f t="shared" si="11"/>
        <v>147</v>
      </c>
      <c r="N20" s="73">
        <f t="shared" si="12"/>
        <v>-0.1144578313253012</v>
      </c>
      <c r="O20" s="136">
        <f t="shared" si="13"/>
        <v>-17168.674698795181</v>
      </c>
      <c r="Q20" s="275"/>
      <c r="R20" s="275"/>
      <c r="S20" s="275"/>
    </row>
    <row r="21" spans="1:19" ht="17.25" customHeight="1" thickBot="1">
      <c r="A21" s="126" t="s">
        <v>230</v>
      </c>
      <c r="B21" s="127">
        <f t="shared" si="0"/>
        <v>168</v>
      </c>
      <c r="C21" s="74">
        <f t="shared" si="1"/>
        <v>5.9880239999999998E-3</v>
      </c>
      <c r="D21" s="127">
        <f t="shared" si="2"/>
        <v>149</v>
      </c>
      <c r="E21" s="74">
        <f t="shared" si="3"/>
        <v>-0.1130952380952381</v>
      </c>
      <c r="F21" s="203">
        <f t="shared" si="4"/>
        <v>-16964.285714285714</v>
      </c>
      <c r="G21" s="44">
        <f t="shared" si="5"/>
        <v>142</v>
      </c>
      <c r="H21" s="74">
        <f t="shared" si="6"/>
        <v>-0.15476190476190477</v>
      </c>
      <c r="I21" s="204">
        <f t="shared" si="7"/>
        <v>-23214.285714285714</v>
      </c>
      <c r="J21" s="127">
        <f t="shared" si="8"/>
        <v>142</v>
      </c>
      <c r="K21" s="74">
        <f t="shared" si="9"/>
        <v>-0.15476190476190477</v>
      </c>
      <c r="L21" s="203">
        <f t="shared" si="10"/>
        <v>-23214.285714285714</v>
      </c>
      <c r="M21" s="44">
        <f t="shared" si="11"/>
        <v>145</v>
      </c>
      <c r="N21" s="74">
        <f t="shared" si="12"/>
        <v>-0.13690476190476192</v>
      </c>
      <c r="O21" s="203">
        <f t="shared" si="13"/>
        <v>-20535.714285714286</v>
      </c>
      <c r="Q21" s="275"/>
      <c r="R21" s="275"/>
      <c r="S21" s="275"/>
    </row>
    <row r="22" spans="1:19" ht="17.25" customHeight="1" thickBot="1">
      <c r="A22" s="124" t="s">
        <v>282</v>
      </c>
      <c r="B22" s="128">
        <f t="shared" si="0"/>
        <v>169</v>
      </c>
      <c r="C22" s="76">
        <f t="shared" si="1"/>
        <v>5.9523809999999996E-3</v>
      </c>
      <c r="D22" s="128">
        <f t="shared" si="2"/>
        <v>159</v>
      </c>
      <c r="E22" s="76">
        <f t="shared" si="3"/>
        <v>-5.9171597633136092E-2</v>
      </c>
      <c r="F22" s="205">
        <f t="shared" si="4"/>
        <v>-8875.7396449704138</v>
      </c>
      <c r="G22" s="45">
        <f t="shared" si="5"/>
        <v>149</v>
      </c>
      <c r="H22" s="76">
        <f t="shared" si="6"/>
        <v>-0.11834319526627218</v>
      </c>
      <c r="I22" s="206">
        <f t="shared" si="7"/>
        <v>-17751.479289940828</v>
      </c>
      <c r="J22" s="128">
        <f t="shared" si="8"/>
        <v>152</v>
      </c>
      <c r="K22" s="76">
        <f t="shared" si="9"/>
        <v>-0.10059171597633136</v>
      </c>
      <c r="L22" s="205">
        <f t="shared" si="10"/>
        <v>-15088.757396449704</v>
      </c>
      <c r="M22" s="45">
        <f t="shared" si="11"/>
        <v>149</v>
      </c>
      <c r="N22" s="76">
        <f t="shared" si="12"/>
        <v>-0.11834319526627218</v>
      </c>
      <c r="O22" s="205">
        <f t="shared" si="13"/>
        <v>-17751.479289940828</v>
      </c>
      <c r="Q22" s="275"/>
      <c r="R22" s="275"/>
      <c r="S22" s="275"/>
    </row>
    <row r="23" spans="1:19" ht="17.25" customHeight="1" thickBot="1">
      <c r="A23" s="124" t="s">
        <v>240</v>
      </c>
      <c r="B23" s="125">
        <f t="shared" si="0"/>
        <v>173</v>
      </c>
      <c r="C23" s="73">
        <f t="shared" si="1"/>
        <v>5.8139534999999999E-3</v>
      </c>
      <c r="D23" s="125">
        <f t="shared" si="2"/>
        <v>159</v>
      </c>
      <c r="E23" s="73">
        <f t="shared" si="3"/>
        <v>-8.0924855491329481E-2</v>
      </c>
      <c r="F23" s="136">
        <f t="shared" si="4"/>
        <v>-12138.728323699423</v>
      </c>
      <c r="G23" s="39">
        <f t="shared" si="5"/>
        <v>147</v>
      </c>
      <c r="H23" s="73">
        <f t="shared" si="6"/>
        <v>-0.15028901734104047</v>
      </c>
      <c r="I23" s="202">
        <f t="shared" si="7"/>
        <v>-22543.352601156072</v>
      </c>
      <c r="J23" s="125">
        <f t="shared" si="8"/>
        <v>148</v>
      </c>
      <c r="K23" s="73">
        <f t="shared" si="9"/>
        <v>-0.14450867052023122</v>
      </c>
      <c r="L23" s="136">
        <f t="shared" si="10"/>
        <v>-21676.300578034683</v>
      </c>
      <c r="M23" s="39">
        <f t="shared" si="11"/>
        <v>149</v>
      </c>
      <c r="N23" s="73">
        <f t="shared" si="12"/>
        <v>-0.13872832369942195</v>
      </c>
      <c r="O23" s="136">
        <f t="shared" si="13"/>
        <v>-20809.248554913294</v>
      </c>
      <c r="Q23" s="275"/>
      <c r="R23" s="275"/>
      <c r="S23" s="275"/>
    </row>
    <row r="24" spans="1:19" ht="17.25" customHeight="1" thickBot="1">
      <c r="A24" s="124" t="s">
        <v>246</v>
      </c>
      <c r="B24" s="125">
        <f t="shared" si="0"/>
        <v>371</v>
      </c>
      <c r="C24" s="73">
        <f t="shared" si="1"/>
        <v>5.4200541999999997E-3</v>
      </c>
      <c r="D24" s="125">
        <f t="shared" si="2"/>
        <v>320</v>
      </c>
      <c r="E24" s="73">
        <f t="shared" si="3"/>
        <v>-0.13746630727762804</v>
      </c>
      <c r="F24" s="136">
        <f t="shared" si="4"/>
        <v>-20619.946091644208</v>
      </c>
      <c r="G24" s="39">
        <f t="shared" si="5"/>
        <v>311</v>
      </c>
      <c r="H24" s="73">
        <f t="shared" si="6"/>
        <v>-0.16172506738544473</v>
      </c>
      <c r="I24" s="202">
        <f t="shared" si="7"/>
        <v>-24258.76010781671</v>
      </c>
      <c r="J24" s="125">
        <f t="shared" si="8"/>
        <v>317</v>
      </c>
      <c r="K24" s="73">
        <f t="shared" si="9"/>
        <v>-0.14555256064690028</v>
      </c>
      <c r="L24" s="136">
        <f t="shared" si="10"/>
        <v>-21832.884097035043</v>
      </c>
      <c r="M24" s="39">
        <f t="shared" si="11"/>
        <v>317</v>
      </c>
      <c r="N24" s="73">
        <f t="shared" si="12"/>
        <v>-0.14555256064690028</v>
      </c>
      <c r="O24" s="136">
        <f t="shared" si="13"/>
        <v>-21832.884097035043</v>
      </c>
      <c r="Q24" s="275"/>
      <c r="R24" s="275"/>
      <c r="S24" s="275"/>
    </row>
    <row r="25" spans="1:19" ht="17.25" customHeight="1" thickBot="1">
      <c r="A25" s="124" t="s">
        <v>200</v>
      </c>
      <c r="B25" s="125">
        <f t="shared" si="0"/>
        <v>340</v>
      </c>
      <c r="C25" s="73">
        <f t="shared" si="1"/>
        <v>2.9498524999999999E-3</v>
      </c>
      <c r="D25" s="125">
        <f t="shared" si="2"/>
        <v>304</v>
      </c>
      <c r="E25" s="73">
        <f t="shared" si="3"/>
        <v>-0.10588235294117647</v>
      </c>
      <c r="F25" s="136">
        <f t="shared" si="4"/>
        <v>-15882.35294117647</v>
      </c>
      <c r="G25" s="39">
        <f t="shared" si="5"/>
        <v>298</v>
      </c>
      <c r="H25" s="73">
        <f t="shared" si="6"/>
        <v>-0.12352941176470589</v>
      </c>
      <c r="I25" s="202">
        <f t="shared" si="7"/>
        <v>-18529.411764705885</v>
      </c>
      <c r="J25" s="125">
        <f t="shared" si="8"/>
        <v>301</v>
      </c>
      <c r="K25" s="73">
        <f t="shared" si="9"/>
        <v>-0.11470588235294117</v>
      </c>
      <c r="L25" s="136">
        <f t="shared" si="10"/>
        <v>-17205.882352941175</v>
      </c>
      <c r="M25" s="39">
        <f t="shared" si="11"/>
        <v>300</v>
      </c>
      <c r="N25" s="73">
        <f t="shared" si="12"/>
        <v>-0.11764705882352941</v>
      </c>
      <c r="O25" s="136">
        <f t="shared" si="13"/>
        <v>-17647.058823529413</v>
      </c>
      <c r="Q25" s="33"/>
      <c r="R25" s="33"/>
    </row>
    <row r="26" spans="1:19" ht="17.25" customHeight="1" thickBot="1">
      <c r="A26" s="129" t="s">
        <v>232</v>
      </c>
      <c r="B26" s="130">
        <f t="shared" si="0"/>
        <v>173</v>
      </c>
      <c r="C26" s="75">
        <f t="shared" si="1"/>
        <v>0</v>
      </c>
      <c r="D26" s="130">
        <f t="shared" si="2"/>
        <v>148</v>
      </c>
      <c r="E26" s="75">
        <f t="shared" si="3"/>
        <v>-0.14450867052023122</v>
      </c>
      <c r="F26" s="137">
        <f t="shared" si="4"/>
        <v>-21676.300578034683</v>
      </c>
      <c r="G26" s="37">
        <f t="shared" si="5"/>
        <v>143</v>
      </c>
      <c r="H26" s="75">
        <f t="shared" si="6"/>
        <v>-0.17341040462427745</v>
      </c>
      <c r="I26" s="207">
        <f t="shared" si="7"/>
        <v>-26011.560693641619</v>
      </c>
      <c r="J26" s="130">
        <f t="shared" si="8"/>
        <v>147</v>
      </c>
      <c r="K26" s="75">
        <f t="shared" si="9"/>
        <v>-0.15028901734104047</v>
      </c>
      <c r="L26" s="137">
        <f t="shared" si="10"/>
        <v>-22543.352601156072</v>
      </c>
      <c r="M26" s="37">
        <f t="shared" si="11"/>
        <v>144</v>
      </c>
      <c r="N26" s="75">
        <f t="shared" si="12"/>
        <v>-0.16763005780346821</v>
      </c>
      <c r="O26" s="137">
        <f t="shared" si="13"/>
        <v>-25144.50867052023</v>
      </c>
      <c r="Q26" s="284"/>
      <c r="R26" s="285"/>
      <c r="S26" s="286"/>
    </row>
    <row r="27" spans="1:19" ht="17.25" customHeight="1">
      <c r="A27" s="122" t="s">
        <v>174</v>
      </c>
      <c r="B27" s="123">
        <f t="shared" si="0"/>
        <v>267</v>
      </c>
      <c r="C27" s="72">
        <f t="shared" si="1"/>
        <v>-3.7313432999999999E-3</v>
      </c>
      <c r="D27" s="123">
        <f t="shared" si="2"/>
        <v>244</v>
      </c>
      <c r="E27" s="72">
        <f t="shared" si="3"/>
        <v>-8.6142322097378279E-2</v>
      </c>
      <c r="F27" s="140">
        <f t="shared" si="4"/>
        <v>-12921.348314606741</v>
      </c>
      <c r="G27" s="38">
        <f t="shared" si="5"/>
        <v>239</v>
      </c>
      <c r="H27" s="72">
        <f t="shared" si="6"/>
        <v>-0.10486891385767791</v>
      </c>
      <c r="I27" s="201">
        <f t="shared" si="7"/>
        <v>-15730.337078651686</v>
      </c>
      <c r="J27" s="123">
        <f t="shared" si="8"/>
        <v>241</v>
      </c>
      <c r="K27" s="72">
        <f t="shared" si="9"/>
        <v>-9.7378277153558054E-2</v>
      </c>
      <c r="L27" s="140">
        <f t="shared" si="10"/>
        <v>-14606.741573033709</v>
      </c>
      <c r="M27" s="38">
        <f t="shared" si="11"/>
        <v>243</v>
      </c>
      <c r="N27" s="72">
        <f t="shared" si="12"/>
        <v>-8.98876404494382E-2</v>
      </c>
      <c r="O27" s="140">
        <f t="shared" si="13"/>
        <v>-13483.14606741573</v>
      </c>
      <c r="Q27" s="287"/>
      <c r="R27" s="288"/>
      <c r="S27" s="289"/>
    </row>
    <row r="28" spans="1:19" ht="17.25" customHeight="1" thickBot="1">
      <c r="A28" s="124" t="s">
        <v>112</v>
      </c>
      <c r="B28" s="125">
        <f t="shared" si="0"/>
        <v>252</v>
      </c>
      <c r="C28" s="73">
        <f t="shared" si="1"/>
        <v>-3.9525691999999996E-3</v>
      </c>
      <c r="D28" s="125">
        <f t="shared" si="2"/>
        <v>232</v>
      </c>
      <c r="E28" s="73">
        <f t="shared" si="3"/>
        <v>-7.9365079365079361E-2</v>
      </c>
      <c r="F28" s="136">
        <f t="shared" si="4"/>
        <v>-11904.761904761905</v>
      </c>
      <c r="G28" s="39">
        <f t="shared" si="5"/>
        <v>225</v>
      </c>
      <c r="H28" s="73">
        <f t="shared" si="6"/>
        <v>-0.10714285714285714</v>
      </c>
      <c r="I28" s="202">
        <f t="shared" si="7"/>
        <v>-16071.428571428571</v>
      </c>
      <c r="J28" s="125">
        <f t="shared" si="8"/>
        <v>228</v>
      </c>
      <c r="K28" s="73">
        <f t="shared" si="9"/>
        <v>-9.5238095238095233E-2</v>
      </c>
      <c r="L28" s="136">
        <f t="shared" si="10"/>
        <v>-14285.714285714284</v>
      </c>
      <c r="M28" s="39">
        <f t="shared" si="11"/>
        <v>227</v>
      </c>
      <c r="N28" s="73">
        <f t="shared" si="12"/>
        <v>-9.9206349206349201E-2</v>
      </c>
      <c r="O28" s="136">
        <f t="shared" si="13"/>
        <v>-14880.95238095238</v>
      </c>
      <c r="Q28" s="290"/>
      <c r="R28" s="291"/>
      <c r="S28" s="292"/>
    </row>
    <row r="29" spans="1:19" ht="17.25" customHeight="1" thickBot="1">
      <c r="A29" s="124" t="s">
        <v>260</v>
      </c>
      <c r="B29" s="125">
        <f t="shared" si="0"/>
        <v>126</v>
      </c>
      <c r="C29" s="73">
        <f t="shared" si="1"/>
        <v>-7.8740157000000005E-3</v>
      </c>
      <c r="D29" s="125">
        <f t="shared" si="2"/>
        <v>124</v>
      </c>
      <c r="E29" s="73">
        <f t="shared" si="3"/>
        <v>-1.5873015873015872E-2</v>
      </c>
      <c r="F29" s="136">
        <f t="shared" si="4"/>
        <v>-2380.9523809523807</v>
      </c>
      <c r="G29" s="39">
        <f t="shared" si="5"/>
        <v>115</v>
      </c>
      <c r="H29" s="73">
        <f t="shared" si="6"/>
        <v>-8.7301587301587297E-2</v>
      </c>
      <c r="I29" s="202">
        <f t="shared" si="7"/>
        <v>-13095.238095238095</v>
      </c>
      <c r="J29" s="125">
        <f t="shared" si="8"/>
        <v>117</v>
      </c>
      <c r="K29" s="73">
        <f t="shared" si="9"/>
        <v>-7.1428571428571425E-2</v>
      </c>
      <c r="L29" s="136">
        <f t="shared" si="10"/>
        <v>-10714.285714285714</v>
      </c>
      <c r="M29" s="39">
        <f t="shared" si="11"/>
        <v>115</v>
      </c>
      <c r="N29" s="73">
        <f t="shared" si="12"/>
        <v>-8.7301587301587297E-2</v>
      </c>
      <c r="O29" s="136">
        <f t="shared" si="13"/>
        <v>-13095.238095238095</v>
      </c>
      <c r="Q29" s="275"/>
      <c r="R29" s="275"/>
      <c r="S29" s="275"/>
    </row>
    <row r="30" spans="1:19" ht="17.25" customHeight="1" thickBot="1">
      <c r="A30" s="124" t="s">
        <v>122</v>
      </c>
      <c r="B30" s="125">
        <f t="shared" si="0"/>
        <v>112</v>
      </c>
      <c r="C30" s="73">
        <f t="shared" si="1"/>
        <v>-8.8495575000000007E-3</v>
      </c>
      <c r="D30" s="125">
        <f t="shared" si="2"/>
        <v>105</v>
      </c>
      <c r="E30" s="73">
        <f t="shared" si="3"/>
        <v>-6.25E-2</v>
      </c>
      <c r="F30" s="136">
        <f t="shared" si="4"/>
        <v>-9375</v>
      </c>
      <c r="G30" s="39">
        <f t="shared" si="5"/>
        <v>103</v>
      </c>
      <c r="H30" s="73">
        <f t="shared" si="6"/>
        <v>-8.0357142857142863E-2</v>
      </c>
      <c r="I30" s="202">
        <f t="shared" si="7"/>
        <v>-12053.571428571429</v>
      </c>
      <c r="J30" s="125">
        <f t="shared" si="8"/>
        <v>105</v>
      </c>
      <c r="K30" s="73">
        <f t="shared" si="9"/>
        <v>-6.25E-2</v>
      </c>
      <c r="L30" s="136">
        <f t="shared" si="10"/>
        <v>-9375</v>
      </c>
      <c r="M30" s="39">
        <f t="shared" si="11"/>
        <v>106</v>
      </c>
      <c r="N30" s="73">
        <f t="shared" si="12"/>
        <v>-5.3571428571428568E-2</v>
      </c>
      <c r="O30" s="136">
        <f t="shared" si="13"/>
        <v>-8035.7142857142853</v>
      </c>
      <c r="Q30" s="270"/>
      <c r="R30" s="270"/>
      <c r="S30" s="270"/>
    </row>
    <row r="31" spans="1:19" ht="17.25" customHeight="1" thickBot="1">
      <c r="A31" s="126" t="s">
        <v>202</v>
      </c>
      <c r="B31" s="127">
        <f t="shared" si="0"/>
        <v>190</v>
      </c>
      <c r="C31" s="74">
        <f t="shared" si="1"/>
        <v>-1.04166667E-2</v>
      </c>
      <c r="D31" s="127">
        <f t="shared" si="2"/>
        <v>173</v>
      </c>
      <c r="E31" s="74">
        <f t="shared" si="3"/>
        <v>-8.9473684210526316E-2</v>
      </c>
      <c r="F31" s="203">
        <f t="shared" si="4"/>
        <v>-13421.052631578947</v>
      </c>
      <c r="G31" s="44">
        <f t="shared" si="5"/>
        <v>163</v>
      </c>
      <c r="H31" s="74">
        <f t="shared" si="6"/>
        <v>-0.14210526315789473</v>
      </c>
      <c r="I31" s="204">
        <f t="shared" si="7"/>
        <v>-21315.78947368421</v>
      </c>
      <c r="J31" s="127">
        <f t="shared" si="8"/>
        <v>170</v>
      </c>
      <c r="K31" s="74">
        <f t="shared" si="9"/>
        <v>-0.10526315789473684</v>
      </c>
      <c r="L31" s="203">
        <f t="shared" si="10"/>
        <v>-15789.473684210525</v>
      </c>
      <c r="M31" s="44">
        <f t="shared" si="11"/>
        <v>165</v>
      </c>
      <c r="N31" s="74">
        <f t="shared" si="12"/>
        <v>-0.13157894736842105</v>
      </c>
      <c r="O31" s="203">
        <f t="shared" si="13"/>
        <v>-19736.842105263157</v>
      </c>
      <c r="Q31" s="270"/>
      <c r="R31" s="270"/>
      <c r="S31" s="270"/>
    </row>
    <row r="32" spans="1:19" ht="17.25" customHeight="1" thickBot="1">
      <c r="A32" s="124" t="s">
        <v>238</v>
      </c>
      <c r="B32" s="128">
        <f t="shared" si="0"/>
        <v>276</v>
      </c>
      <c r="C32" s="76">
        <f t="shared" si="1"/>
        <v>-1.0752688200000001E-2</v>
      </c>
      <c r="D32" s="128">
        <f t="shared" si="2"/>
        <v>241</v>
      </c>
      <c r="E32" s="76">
        <f t="shared" si="3"/>
        <v>-0.12681159420289856</v>
      </c>
      <c r="F32" s="205">
        <f t="shared" si="4"/>
        <v>-19021.739130434784</v>
      </c>
      <c r="G32" s="45">
        <f t="shared" si="5"/>
        <v>238</v>
      </c>
      <c r="H32" s="76">
        <f t="shared" si="6"/>
        <v>-0.13768115942028986</v>
      </c>
      <c r="I32" s="206">
        <f t="shared" si="7"/>
        <v>-20652.17391304348</v>
      </c>
      <c r="J32" s="128">
        <f t="shared" si="8"/>
        <v>242</v>
      </c>
      <c r="K32" s="76">
        <f t="shared" si="9"/>
        <v>-0.12318840579710146</v>
      </c>
      <c r="L32" s="205">
        <f t="shared" si="10"/>
        <v>-18478.26086956522</v>
      </c>
      <c r="M32" s="45">
        <f t="shared" si="11"/>
        <v>245</v>
      </c>
      <c r="N32" s="76">
        <f t="shared" si="12"/>
        <v>-0.11231884057971014</v>
      </c>
      <c r="O32" s="205">
        <f t="shared" si="13"/>
        <v>-16847.82608695652</v>
      </c>
      <c r="Q32" s="275"/>
      <c r="R32" s="275"/>
      <c r="S32" s="275"/>
    </row>
    <row r="33" spans="1:19" ht="17.25" customHeight="1" thickBot="1">
      <c r="A33" s="124" t="s">
        <v>210</v>
      </c>
      <c r="B33" s="125">
        <f t="shared" si="0"/>
        <v>181</v>
      </c>
      <c r="C33" s="73">
        <f t="shared" si="1"/>
        <v>-1.09289617E-2</v>
      </c>
      <c r="D33" s="125">
        <f t="shared" si="2"/>
        <v>170</v>
      </c>
      <c r="E33" s="73">
        <f t="shared" si="3"/>
        <v>-6.0773480662983423E-2</v>
      </c>
      <c r="F33" s="136">
        <f t="shared" si="4"/>
        <v>-9116.022099447513</v>
      </c>
      <c r="G33" s="39">
        <f t="shared" si="5"/>
        <v>162</v>
      </c>
      <c r="H33" s="73">
        <f t="shared" si="6"/>
        <v>-0.10497237569060773</v>
      </c>
      <c r="I33" s="202">
        <f t="shared" si="7"/>
        <v>-15745.85635359116</v>
      </c>
      <c r="J33" s="125">
        <f t="shared" si="8"/>
        <v>164</v>
      </c>
      <c r="K33" s="73">
        <f t="shared" si="9"/>
        <v>-9.3922651933701654E-2</v>
      </c>
      <c r="L33" s="136">
        <f t="shared" si="10"/>
        <v>-14088.397790055247</v>
      </c>
      <c r="M33" s="39">
        <f t="shared" si="11"/>
        <v>164</v>
      </c>
      <c r="N33" s="73">
        <f t="shared" si="12"/>
        <v>-9.3922651933701654E-2</v>
      </c>
      <c r="O33" s="136">
        <f t="shared" si="13"/>
        <v>-14088.397790055247</v>
      </c>
      <c r="Q33" s="275"/>
      <c r="R33" s="275"/>
      <c r="S33" s="275"/>
    </row>
    <row r="34" spans="1:19" ht="17.25" customHeight="1" thickBot="1">
      <c r="A34" s="124" t="s">
        <v>212</v>
      </c>
      <c r="B34" s="125">
        <f t="shared" si="0"/>
        <v>140</v>
      </c>
      <c r="C34" s="73">
        <f t="shared" si="1"/>
        <v>-1.4084507E-2</v>
      </c>
      <c r="D34" s="125">
        <f t="shared" si="2"/>
        <v>128</v>
      </c>
      <c r="E34" s="73">
        <f t="shared" si="3"/>
        <v>-8.5714285714285715E-2</v>
      </c>
      <c r="F34" s="136">
        <f t="shared" si="4"/>
        <v>-12857.142857142857</v>
      </c>
      <c r="G34" s="39">
        <f t="shared" si="5"/>
        <v>122</v>
      </c>
      <c r="H34" s="73">
        <f t="shared" si="6"/>
        <v>-0.12857142857142856</v>
      </c>
      <c r="I34" s="202">
        <f t="shared" si="7"/>
        <v>-19285.714285714283</v>
      </c>
      <c r="J34" s="125">
        <f t="shared" si="8"/>
        <v>122</v>
      </c>
      <c r="K34" s="73">
        <f t="shared" si="9"/>
        <v>-0.12857142857142856</v>
      </c>
      <c r="L34" s="136">
        <f t="shared" si="10"/>
        <v>-19285.714285714283</v>
      </c>
      <c r="M34" s="39">
        <f t="shared" si="11"/>
        <v>123</v>
      </c>
      <c r="N34" s="73">
        <f t="shared" si="12"/>
        <v>-0.12142857142857143</v>
      </c>
      <c r="O34" s="136">
        <f t="shared" si="13"/>
        <v>-18214.285714285714</v>
      </c>
      <c r="Q34" s="275"/>
      <c r="R34" s="275"/>
      <c r="S34" s="275"/>
    </row>
    <row r="35" spans="1:19" ht="17.25" customHeight="1">
      <c r="A35" s="124" t="s">
        <v>226</v>
      </c>
      <c r="B35" s="125">
        <f t="shared" si="0"/>
        <v>484</v>
      </c>
      <c r="C35" s="73">
        <f t="shared" si="1"/>
        <v>-1.4256619099999999E-2</v>
      </c>
      <c r="D35" s="125">
        <f t="shared" si="2"/>
        <v>426</v>
      </c>
      <c r="E35" s="73">
        <f t="shared" si="3"/>
        <v>-0.11983471074380166</v>
      </c>
      <c r="F35" s="136">
        <f t="shared" si="4"/>
        <v>-17975.206611570247</v>
      </c>
      <c r="G35" s="39">
        <f t="shared" si="5"/>
        <v>412</v>
      </c>
      <c r="H35" s="73">
        <f t="shared" si="6"/>
        <v>-0.1487603305785124</v>
      </c>
      <c r="I35" s="202">
        <f t="shared" si="7"/>
        <v>-22314.049586776859</v>
      </c>
      <c r="J35" s="125">
        <f t="shared" si="8"/>
        <v>424</v>
      </c>
      <c r="K35" s="73">
        <f t="shared" si="9"/>
        <v>-0.12396694214876033</v>
      </c>
      <c r="L35" s="136">
        <f t="shared" si="10"/>
        <v>-18595.041322314049</v>
      </c>
      <c r="M35" s="39">
        <f t="shared" si="11"/>
        <v>422</v>
      </c>
      <c r="N35" s="73">
        <f t="shared" si="12"/>
        <v>-0.128099173553719</v>
      </c>
      <c r="O35" s="136">
        <f t="shared" si="13"/>
        <v>-19214.876033057848</v>
      </c>
      <c r="Q35" s="297"/>
      <c r="R35" s="298"/>
      <c r="S35" s="299"/>
    </row>
    <row r="36" spans="1:19" ht="17.25" customHeight="1" thickBot="1">
      <c r="A36" s="129" t="s">
        <v>403</v>
      </c>
      <c r="B36" s="130">
        <f t="shared" si="0"/>
        <v>83.6</v>
      </c>
      <c r="C36" s="75">
        <f t="shared" si="1"/>
        <v>-0.17227722770000001</v>
      </c>
      <c r="D36" s="130">
        <f t="shared" si="2"/>
        <v>74.599999999999994</v>
      </c>
      <c r="E36" s="75">
        <f t="shared" si="3"/>
        <v>-0.1076555023923445</v>
      </c>
      <c r="F36" s="137">
        <f t="shared" si="4"/>
        <v>-16148.325358851676</v>
      </c>
      <c r="G36" s="37">
        <f t="shared" si="5"/>
        <v>70</v>
      </c>
      <c r="H36" s="75">
        <f t="shared" si="6"/>
        <v>-0.16267942583732051</v>
      </c>
      <c r="I36" s="207">
        <f t="shared" si="7"/>
        <v>-24401.913875598075</v>
      </c>
      <c r="J36" s="130">
        <f t="shared" si="8"/>
        <v>72.2</v>
      </c>
      <c r="K36" s="75">
        <f t="shared" si="9"/>
        <v>-0.13636363636363627</v>
      </c>
      <c r="L36" s="137">
        <f t="shared" si="10"/>
        <v>-20454.545454545441</v>
      </c>
      <c r="M36" s="37">
        <f t="shared" si="11"/>
        <v>72.2</v>
      </c>
      <c r="N36" s="75">
        <f t="shared" si="12"/>
        <v>-0.13636363636363627</v>
      </c>
      <c r="O36" s="137">
        <f t="shared" si="13"/>
        <v>-20454.545454545441</v>
      </c>
      <c r="Q36" s="300"/>
      <c r="R36" s="301"/>
      <c r="S36" s="302"/>
    </row>
    <row r="37" spans="1:19" ht="17.25" customHeight="1" thickBot="1">
      <c r="A37" s="131" t="s">
        <v>42</v>
      </c>
      <c r="B37" s="308">
        <v>150000</v>
      </c>
      <c r="C37" s="309"/>
      <c r="D37" s="131" t="s">
        <v>43</v>
      </c>
      <c r="E37" s="223">
        <f>IF(COUNT(E17:E36), SUM(E17:E36) / COUNT(E17:E36), 0)</f>
        <v>-8.9485570450694885E-2</v>
      </c>
      <c r="F37" s="208">
        <f>SUM(F17:F36)</f>
        <v>-268456.71135208471</v>
      </c>
      <c r="G37" s="131" t="s">
        <v>43</v>
      </c>
      <c r="H37" s="223">
        <f>IF(COUNT(H17:H36), SUM(H17:H36) / COUNT(H17:H36), 0)</f>
        <v>-0.12504896406063606</v>
      </c>
      <c r="I37" s="208">
        <f>SUM(I17:I36)</f>
        <v>-375146.89218190819</v>
      </c>
      <c r="J37" s="131" t="s">
        <v>43</v>
      </c>
      <c r="K37" s="223">
        <f>IF(COUNT(K17:K36), SUM(K17:K36) / COUNT(K17:K36), 0)</f>
        <v>-0.11021560013295661</v>
      </c>
      <c r="L37" s="208">
        <f>SUM(L17:L36)</f>
        <v>-330646.80039886979</v>
      </c>
      <c r="M37" s="131" t="s">
        <v>43</v>
      </c>
      <c r="N37" s="223">
        <f>IF(COUNT(N17:N36), SUM(N17:N36) / COUNT(N17:N36), 0)</f>
        <v>-0.11294928574022531</v>
      </c>
      <c r="O37" s="208">
        <f>SUM(O17:O36)</f>
        <v>-338847.85722067603</v>
      </c>
      <c r="Q37" s="303"/>
      <c r="R37" s="304"/>
      <c r="S37" s="305"/>
    </row>
    <row r="38" spans="1:19" ht="17.25" customHeight="1"/>
    <row r="39" spans="1:19" ht="17.25" customHeight="1" thickBot="1"/>
    <row r="40" spans="1:19" ht="17.25" customHeight="1" thickBot="1">
      <c r="A40" s="249" t="s">
        <v>44</v>
      </c>
      <c r="B40" s="250"/>
      <c r="C40" s="250"/>
      <c r="D40" s="250"/>
      <c r="E40" s="250"/>
      <c r="F40" s="250"/>
      <c r="G40" s="250"/>
      <c r="H40" s="250"/>
      <c r="I40" s="250"/>
      <c r="J40" s="250"/>
      <c r="K40" s="250"/>
      <c r="L40" s="250"/>
      <c r="M40" s="250"/>
      <c r="N40" s="250"/>
      <c r="O40" s="251"/>
      <c r="Q40" s="270"/>
      <c r="R40" s="270"/>
      <c r="S40" s="270"/>
    </row>
    <row r="41" spans="1:19" ht="17.25" customHeight="1" thickBot="1">
      <c r="A41" s="217" t="s">
        <v>298</v>
      </c>
      <c r="B41" s="249" t="s">
        <v>49</v>
      </c>
      <c r="C41" s="251"/>
      <c r="D41" s="249" t="s">
        <v>58</v>
      </c>
      <c r="E41" s="250"/>
      <c r="F41" s="251"/>
      <c r="G41" s="276">
        <f>_xlfn.IFNA(VLOOKUP(B41, 현재가테이블!$B$2:$D$200, 2, FALSE), "-")</f>
        <v>60874000</v>
      </c>
      <c r="H41" s="277"/>
      <c r="I41" s="278"/>
      <c r="J41" s="249" t="s">
        <v>59</v>
      </c>
      <c r="K41" s="250"/>
      <c r="L41" s="251"/>
      <c r="M41" s="279">
        <f>_xlfn.IFNA(VLOOKUP(B41, 현재가테이블!$B$2:$D$200, 3, FALSE), "-")</f>
        <v>-1.4936000099999999E-2</v>
      </c>
      <c r="N41" s="280"/>
      <c r="O41" s="281"/>
      <c r="Q41" s="270"/>
      <c r="R41" s="270"/>
      <c r="S41" s="270"/>
    </row>
    <row r="42" spans="1:19" ht="17.25" customHeight="1" thickBot="1">
      <c r="A42" s="310" t="s">
        <v>55</v>
      </c>
      <c r="B42" s="312" t="str">
        <f>TEXT($G$1, "[$-ko-KR]yyyy-mm-dd(ddd) ") &amp; "오전 00:00"</f>
        <v>2021-05-13(목) 오전 00:00</v>
      </c>
      <c r="C42" s="313"/>
      <c r="D42" s="249" t="str">
        <f>TEXT($G$1, "[$-ko-KR]yyyy-mm-dd(ddd) ") &amp; "오후 14:00"</f>
        <v>2021-05-13(목) 오후 14:00</v>
      </c>
      <c r="E42" s="250"/>
      <c r="F42" s="251"/>
      <c r="G42" s="249" t="str">
        <f>TEXT($G$1, "[$-ko-KR]yyyy-mm-dd(ddd) ") &amp; "오후 19:00"</f>
        <v>2021-05-13(목) 오후 19:00</v>
      </c>
      <c r="H42" s="250"/>
      <c r="I42" s="251"/>
      <c r="J42" s="249" t="str">
        <f>TEXT($G$1, "[$-ko-KR]yyyy-mm-dd(ddd) ") &amp; "오후 21:00"</f>
        <v>2021-05-13(목) 오후 21:00</v>
      </c>
      <c r="K42" s="250"/>
      <c r="L42" s="251"/>
      <c r="M42" s="249" t="str">
        <f>TEXT($G$1+1, "[$-ko-KR]yyyy-mm-dd(ddd) ") &amp; "오전 00:00"</f>
        <v>2021-05-14(금) 오전 00:00</v>
      </c>
      <c r="N42" s="250"/>
      <c r="O42" s="251"/>
      <c r="Q42" s="270"/>
      <c r="R42" s="270"/>
      <c r="S42" s="270"/>
    </row>
    <row r="43" spans="1:19" ht="17.25" customHeight="1" thickBot="1">
      <c r="A43" s="311"/>
      <c r="B43" s="120" t="s">
        <v>58</v>
      </c>
      <c r="C43" s="121" t="s">
        <v>59</v>
      </c>
      <c r="D43" s="120" t="s">
        <v>58</v>
      </c>
      <c r="E43" s="121" t="s">
        <v>299</v>
      </c>
      <c r="F43" s="224" t="s">
        <v>300</v>
      </c>
      <c r="G43" s="217" t="s">
        <v>58</v>
      </c>
      <c r="H43" s="218" t="s">
        <v>299</v>
      </c>
      <c r="I43" s="219" t="s">
        <v>300</v>
      </c>
      <c r="J43" s="121" t="s">
        <v>58</v>
      </c>
      <c r="K43" s="121" t="s">
        <v>299</v>
      </c>
      <c r="L43" s="221" t="s">
        <v>300</v>
      </c>
      <c r="M43" s="120" t="s">
        <v>58</v>
      </c>
      <c r="N43" s="121" t="s">
        <v>299</v>
      </c>
      <c r="O43" s="222" t="s">
        <v>300</v>
      </c>
      <c r="Q43" s="275"/>
      <c r="R43" s="275"/>
      <c r="S43" s="275"/>
    </row>
    <row r="44" spans="1:19" ht="17.25" customHeight="1" thickBot="1">
      <c r="A44" s="122" t="s">
        <v>198</v>
      </c>
      <c r="B44" s="123">
        <v>28</v>
      </c>
      <c r="C44" s="72">
        <v>6.4638783300000002E-2</v>
      </c>
      <c r="D44" s="123">
        <v>24.4</v>
      </c>
      <c r="E44" s="72">
        <f>IF(ISNUMBER(D44), (D44 - $B44) / $B44, "")</f>
        <v>-0.12857142857142861</v>
      </c>
      <c r="F44" s="140">
        <f>IF(ISNUMBER(D44), $B64 * E44, "")</f>
        <v>-19285.714285714294</v>
      </c>
      <c r="G44" s="38">
        <v>23.6</v>
      </c>
      <c r="H44" s="72">
        <f>IF(ISNUMBER(G44), (G44 - $B44) / $B44, "")</f>
        <v>-0.15714285714285708</v>
      </c>
      <c r="I44" s="201">
        <f>IF(ISNUMBER(G44), $B64 * H44, "")</f>
        <v>-23571.428571428562</v>
      </c>
      <c r="J44" s="123">
        <v>23.8</v>
      </c>
      <c r="K44" s="72">
        <f>IF(ISNUMBER(J44), (J44 - $B44) / $B44, "")</f>
        <v>-0.14999999999999997</v>
      </c>
      <c r="L44" s="140">
        <f>IF(ISNUMBER(J44), $B64 * K44, "")</f>
        <v>-22499.999999999996</v>
      </c>
      <c r="M44" s="38">
        <v>23.8</v>
      </c>
      <c r="N44" s="72">
        <f>IF(ISNUMBER(M44), (M44 - $B44) / $B44, "")</f>
        <v>-0.14999999999999997</v>
      </c>
      <c r="O44" s="140">
        <f>IF(ISNUMBER(M44), $B64 * N44, "")</f>
        <v>-22499.999999999996</v>
      </c>
      <c r="Q44" s="270"/>
      <c r="R44" s="270"/>
      <c r="S44" s="270"/>
    </row>
    <row r="45" spans="1:19" ht="17.25" customHeight="1" thickBot="1">
      <c r="A45" s="124" t="s">
        <v>172</v>
      </c>
      <c r="B45" s="125">
        <v>24.3</v>
      </c>
      <c r="C45" s="73">
        <v>3.8461538500000003E-2</v>
      </c>
      <c r="D45" s="125">
        <v>24.5</v>
      </c>
      <c r="E45" s="73">
        <f t="shared" ref="E45:E48" si="14">IF(ISNUMBER(D45), (D45 - $B45) / $B45, "")</f>
        <v>8.2304526748970906E-3</v>
      </c>
      <c r="F45" s="136">
        <f>IF(ISNUMBER(D45), $B64 * E45, "")</f>
        <v>1234.5679012345636</v>
      </c>
      <c r="G45" s="39">
        <v>23</v>
      </c>
      <c r="H45" s="73">
        <f t="shared" ref="H45:H48" si="15">IF(ISNUMBER(G45), (G45 - $B45) / $B45, "")</f>
        <v>-5.3497942386831303E-2</v>
      </c>
      <c r="I45" s="202">
        <f>IF(ISNUMBER(G45), $B64 * H45, "")</f>
        <v>-8024.6913580246955</v>
      </c>
      <c r="J45" s="125">
        <v>23.7</v>
      </c>
      <c r="K45" s="73">
        <f t="shared" ref="K45:K48" si="16">IF(ISNUMBER(J45), (J45 - $B45) / $B45, "")</f>
        <v>-2.4691358024691416E-2</v>
      </c>
      <c r="L45" s="136">
        <f>IF(ISNUMBER(J45), $B64 * K45, "")</f>
        <v>-3703.7037037037126</v>
      </c>
      <c r="M45" s="39">
        <v>23.8</v>
      </c>
      <c r="N45" s="73">
        <f t="shared" ref="N45:N48" si="17">IF(ISNUMBER(M45), (M45 - $B45) / $B45, "")</f>
        <v>-2.0576131687242798E-2</v>
      </c>
      <c r="O45" s="136">
        <f>IF(ISNUMBER(M45), $B64 * N45, "")</f>
        <v>-3086.4197530864199</v>
      </c>
      <c r="Q45" s="270"/>
      <c r="R45" s="270"/>
      <c r="S45" s="270"/>
    </row>
    <row r="46" spans="1:19" ht="17.25" customHeight="1" thickBot="1">
      <c r="A46" s="124" t="s">
        <v>214</v>
      </c>
      <c r="B46" s="125">
        <v>22.4</v>
      </c>
      <c r="C46" s="73">
        <v>9.0090090000000001E-3</v>
      </c>
      <c r="D46" s="125">
        <v>20.100000000000001</v>
      </c>
      <c r="E46" s="73">
        <f t="shared" si="14"/>
        <v>-0.10267857142857131</v>
      </c>
      <c r="F46" s="136">
        <f>IF(ISNUMBER(D46), $B64 * E46, "")</f>
        <v>-15401.785714285697</v>
      </c>
      <c r="G46" s="39">
        <v>19.399999999999999</v>
      </c>
      <c r="H46" s="73">
        <f t="shared" si="15"/>
        <v>-0.13392857142857142</v>
      </c>
      <c r="I46" s="202">
        <f>IF(ISNUMBER(G46), $B64 * H46, "")</f>
        <v>-20089.285714285714</v>
      </c>
      <c r="J46" s="125">
        <v>19.5</v>
      </c>
      <c r="K46" s="73">
        <f t="shared" si="16"/>
        <v>-0.12946428571428567</v>
      </c>
      <c r="L46" s="136">
        <f>IF(ISNUMBER(J46), $B64 * K46, "")</f>
        <v>-19419.642857142851</v>
      </c>
      <c r="M46" s="39">
        <v>19.5</v>
      </c>
      <c r="N46" s="73">
        <f t="shared" si="17"/>
        <v>-0.12946428571428567</v>
      </c>
      <c r="O46" s="136">
        <f>IF(ISNUMBER(M46), $B64 * N46, "")</f>
        <v>-19419.642857142851</v>
      </c>
      <c r="Q46" s="275"/>
      <c r="R46" s="275"/>
      <c r="S46" s="275"/>
    </row>
    <row r="47" spans="1:19" ht="17.25" customHeight="1" thickBot="1">
      <c r="A47" s="124" t="s">
        <v>154</v>
      </c>
      <c r="B47" s="125">
        <v>20.100000000000001</v>
      </c>
      <c r="C47" s="73">
        <v>5.0000000000000001E-3</v>
      </c>
      <c r="D47" s="125">
        <v>18</v>
      </c>
      <c r="E47" s="73">
        <f t="shared" si="14"/>
        <v>-0.10447761194029857</v>
      </c>
      <c r="F47" s="136">
        <f>IF(ISNUMBER(D47), $B64 * E47, "")</f>
        <v>-15671.641791044785</v>
      </c>
      <c r="G47" s="39">
        <v>17.399999999999999</v>
      </c>
      <c r="H47" s="73">
        <f t="shared" si="15"/>
        <v>-0.13432835820895536</v>
      </c>
      <c r="I47" s="202">
        <f>IF(ISNUMBER(G47), $B64 * H47, "")</f>
        <v>-20149.253731343306</v>
      </c>
      <c r="J47" s="125">
        <v>17.7</v>
      </c>
      <c r="K47" s="73">
        <f t="shared" si="16"/>
        <v>-0.11940298507462696</v>
      </c>
      <c r="L47" s="136">
        <f>IF(ISNUMBER(J47), $B64 * K47, "")</f>
        <v>-17910.447761194046</v>
      </c>
      <c r="M47" s="39">
        <v>17.5</v>
      </c>
      <c r="N47" s="73">
        <f t="shared" si="17"/>
        <v>-0.12935323383084582</v>
      </c>
      <c r="O47" s="136">
        <f>IF(ISNUMBER(M47), $B64 * N47, "")</f>
        <v>-19402.985074626875</v>
      </c>
      <c r="Q47" s="275"/>
      <c r="R47" s="275"/>
      <c r="S47" s="275"/>
    </row>
    <row r="48" spans="1:19" ht="17.25" customHeight="1" thickBot="1">
      <c r="A48" s="126" t="s">
        <v>72</v>
      </c>
      <c r="B48" s="127">
        <v>36.4</v>
      </c>
      <c r="C48" s="74">
        <v>-2.7397260000000001E-3</v>
      </c>
      <c r="D48" s="127">
        <v>32.6</v>
      </c>
      <c r="E48" s="74">
        <f t="shared" si="14"/>
        <v>-0.10439560439560432</v>
      </c>
      <c r="F48" s="203">
        <f>IF(ISNUMBER(D48), $B64 * E48, "")</f>
        <v>-15659.340659340647</v>
      </c>
      <c r="G48" s="44">
        <v>30.7</v>
      </c>
      <c r="H48" s="74">
        <f t="shared" si="15"/>
        <v>-0.15659340659340659</v>
      </c>
      <c r="I48" s="204">
        <f>IF(ISNUMBER(G48), $B64 * H48, "")</f>
        <v>-23489.010989010989</v>
      </c>
      <c r="J48" s="127">
        <v>31.3</v>
      </c>
      <c r="K48" s="74">
        <f t="shared" si="16"/>
        <v>-0.14010989010989006</v>
      </c>
      <c r="L48" s="203">
        <f>IF(ISNUMBER(J48), $B64 * K48, "")</f>
        <v>-21016.483516483509</v>
      </c>
      <c r="M48" s="44">
        <v>31.5</v>
      </c>
      <c r="N48" s="74">
        <f t="shared" si="17"/>
        <v>-0.13461538461538458</v>
      </c>
      <c r="O48" s="203">
        <f>IF(ISNUMBER(M48), $B64 * N48, "")</f>
        <v>-20192.307692307688</v>
      </c>
      <c r="Q48" s="275"/>
      <c r="R48" s="275"/>
      <c r="S48" s="275"/>
    </row>
    <row r="49" spans="1:19" ht="17.25" customHeight="1" thickBot="1">
      <c r="A49" s="124" t="s">
        <v>228</v>
      </c>
      <c r="B49" s="128">
        <v>18.100000000000001</v>
      </c>
      <c r="C49" s="76">
        <v>-1.09289617E-2</v>
      </c>
      <c r="D49" s="128">
        <v>16.100000000000001</v>
      </c>
      <c r="E49" s="76">
        <f>IF(ISNUMBER(D49), (D49 - $B49) / $B49, "")</f>
        <v>-0.11049723756906077</v>
      </c>
      <c r="F49" s="205">
        <f>IF(ISNUMBER(D49), $B64 * E49, "")</f>
        <v>-16574.585635359115</v>
      </c>
      <c r="G49" s="45">
        <v>15.8</v>
      </c>
      <c r="H49" s="76">
        <f>IF(ISNUMBER(G49), (G49 - $B49) / $B49, "")</f>
        <v>-0.12707182320441993</v>
      </c>
      <c r="I49" s="206">
        <f>IF(ISNUMBER(G49), $B64 * H49, "")</f>
        <v>-19060.773480662989</v>
      </c>
      <c r="J49" s="128">
        <v>15.9</v>
      </c>
      <c r="K49" s="76">
        <f>IF(ISNUMBER(J49), (J49 - $B49) / $B49, "")</f>
        <v>-0.1215469613259669</v>
      </c>
      <c r="L49" s="205">
        <f>IF(ISNUMBER(J49), $B64 * K49, "")</f>
        <v>-18232.044198895037</v>
      </c>
      <c r="M49" s="45">
        <v>15.8</v>
      </c>
      <c r="N49" s="76">
        <f>IF(ISNUMBER(M49), (M49 - $B49) / $B49, "")</f>
        <v>-0.12707182320441993</v>
      </c>
      <c r="O49" s="205">
        <f>IF(ISNUMBER(M49), $B64 * N49, "")</f>
        <v>-19060.773480662989</v>
      </c>
      <c r="Q49" s="275"/>
      <c r="R49" s="275"/>
      <c r="S49" s="275"/>
    </row>
    <row r="50" spans="1:19" ht="17.25" customHeight="1" thickBot="1">
      <c r="A50" s="124" t="s">
        <v>222</v>
      </c>
      <c r="B50" s="125">
        <v>18.100000000000001</v>
      </c>
      <c r="C50" s="73">
        <v>-1.09289617E-2</v>
      </c>
      <c r="D50" s="125">
        <v>16.100000000000001</v>
      </c>
      <c r="E50" s="73">
        <f t="shared" ref="E50:E53" si="18">IF(ISNUMBER(D50), (D50 - $B50) / $B50, "")</f>
        <v>-0.11049723756906077</v>
      </c>
      <c r="F50" s="136">
        <f>IF(ISNUMBER(D50), $B64 * E50, "")</f>
        <v>-16574.585635359115</v>
      </c>
      <c r="G50" s="39">
        <v>15.6</v>
      </c>
      <c r="H50" s="73">
        <f t="shared" ref="H50:H53" si="19">IF(ISNUMBER(G50), (G50 - $B50) / $B50, "")</f>
        <v>-0.13812154696132606</v>
      </c>
      <c r="I50" s="202">
        <f>IF(ISNUMBER(G50), $B64 * H50, "")</f>
        <v>-20718.23204419891</v>
      </c>
      <c r="J50" s="125">
        <v>15.7</v>
      </c>
      <c r="K50" s="73">
        <f t="shared" ref="K50:K53" si="20">IF(ISNUMBER(J50), (J50 - $B50) / $B50, "")</f>
        <v>-0.13259668508287303</v>
      </c>
      <c r="L50" s="136">
        <f>IF(ISNUMBER(J50), $B64 * K50, "")</f>
        <v>-19889.502762430955</v>
      </c>
      <c r="M50" s="39">
        <v>15.7</v>
      </c>
      <c r="N50" s="73">
        <f t="shared" ref="N50:N53" si="21">IF(ISNUMBER(M50), (M50 - $B50) / $B50, "")</f>
        <v>-0.13259668508287303</v>
      </c>
      <c r="O50" s="136">
        <f>IF(ISNUMBER(M50), $B64 * N50, "")</f>
        <v>-19889.502762430955</v>
      </c>
      <c r="Q50" s="275"/>
      <c r="R50" s="275"/>
      <c r="S50" s="275"/>
    </row>
    <row r="51" spans="1:19" ht="17.25" customHeight="1" thickBot="1">
      <c r="A51" s="124" t="s">
        <v>218</v>
      </c>
      <c r="B51" s="125">
        <v>26.7</v>
      </c>
      <c r="C51" s="73">
        <v>-1.11111111E-2</v>
      </c>
      <c r="D51" s="125">
        <v>23.9</v>
      </c>
      <c r="E51" s="73">
        <f t="shared" si="18"/>
        <v>-0.10486891385767794</v>
      </c>
      <c r="F51" s="136">
        <f>IF(ISNUMBER(D51), $B64 * E51, "")</f>
        <v>-15730.33707865169</v>
      </c>
      <c r="G51" s="39">
        <v>22.6</v>
      </c>
      <c r="H51" s="73">
        <f t="shared" si="19"/>
        <v>-0.15355805243445686</v>
      </c>
      <c r="I51" s="202">
        <f>IF(ISNUMBER(G51), $B64 * H51, "")</f>
        <v>-23033.70786516853</v>
      </c>
      <c r="J51" s="125">
        <v>23.2</v>
      </c>
      <c r="K51" s="73">
        <f t="shared" si="20"/>
        <v>-0.13108614232209739</v>
      </c>
      <c r="L51" s="136">
        <f>IF(ISNUMBER(J51), $B64 * K51, "")</f>
        <v>-19662.921348314609</v>
      </c>
      <c r="M51" s="39">
        <v>23</v>
      </c>
      <c r="N51" s="73">
        <f t="shared" si="21"/>
        <v>-0.13857677902621721</v>
      </c>
      <c r="O51" s="136">
        <f>IF(ISNUMBER(M51), $B64 * N51, "")</f>
        <v>-20786.516853932582</v>
      </c>
      <c r="Q51" s="275"/>
      <c r="R51" s="275"/>
      <c r="S51" s="275"/>
    </row>
    <row r="52" spans="1:19" ht="17.25" customHeight="1" thickBot="1">
      <c r="A52" s="124" t="s">
        <v>196</v>
      </c>
      <c r="B52" s="125">
        <v>19.399999999999999</v>
      </c>
      <c r="C52" s="73">
        <v>-2.02020202E-2</v>
      </c>
      <c r="D52" s="125">
        <v>17.7</v>
      </c>
      <c r="E52" s="73">
        <f t="shared" si="18"/>
        <v>-8.762886597938141E-2</v>
      </c>
      <c r="F52" s="136">
        <f>IF(ISNUMBER(D52), $B64 * E52, "")</f>
        <v>-13144.329896907211</v>
      </c>
      <c r="G52" s="39">
        <v>17.3</v>
      </c>
      <c r="H52" s="73">
        <f t="shared" si="19"/>
        <v>-0.10824742268041226</v>
      </c>
      <c r="I52" s="202">
        <f>IF(ISNUMBER(G52), $B64 * H52, "")</f>
        <v>-16237.113402061839</v>
      </c>
      <c r="J52" s="125">
        <v>17.399999999999999</v>
      </c>
      <c r="K52" s="73">
        <f t="shared" si="20"/>
        <v>-0.10309278350515465</v>
      </c>
      <c r="L52" s="136">
        <f>IF(ISNUMBER(J52), $B64 * K52, "")</f>
        <v>-15463.917525773197</v>
      </c>
      <c r="M52" s="39">
        <v>17.399999999999999</v>
      </c>
      <c r="N52" s="73">
        <f t="shared" si="21"/>
        <v>-0.10309278350515465</v>
      </c>
      <c r="O52" s="136">
        <f>IF(ISNUMBER(M52), $B64 * N52, "")</f>
        <v>-15463.917525773197</v>
      </c>
      <c r="Q52" s="33"/>
      <c r="R52" s="33"/>
    </row>
    <row r="53" spans="1:19" ht="17.25" customHeight="1" thickBot="1">
      <c r="A53" s="129" t="s">
        <v>186</v>
      </c>
      <c r="B53" s="130">
        <v>23.8</v>
      </c>
      <c r="C53" s="75">
        <v>-2.85714286E-2</v>
      </c>
      <c r="D53" s="130">
        <v>21.3</v>
      </c>
      <c r="E53" s="75">
        <f t="shared" si="18"/>
        <v>-0.10504201680672269</v>
      </c>
      <c r="F53" s="137">
        <f>IF(ISNUMBER(D53), $B64 * E53, "")</f>
        <v>-15756.302521008403</v>
      </c>
      <c r="G53" s="37">
        <v>20.3</v>
      </c>
      <c r="H53" s="75">
        <f t="shared" si="19"/>
        <v>-0.14705882352941177</v>
      </c>
      <c r="I53" s="207">
        <f>IF(ISNUMBER(G53), $B64 * H53, "")</f>
        <v>-22058.823529411766</v>
      </c>
      <c r="J53" s="130">
        <v>20.7</v>
      </c>
      <c r="K53" s="75">
        <f t="shared" si="20"/>
        <v>-0.1302521008403362</v>
      </c>
      <c r="L53" s="137">
        <f>IF(ISNUMBER(J53), $B64 * K53, "")</f>
        <v>-19537.815126050431</v>
      </c>
      <c r="M53" s="37">
        <v>21</v>
      </c>
      <c r="N53" s="75">
        <f t="shared" si="21"/>
        <v>-0.11764705882352944</v>
      </c>
      <c r="O53" s="137">
        <f>IF(ISNUMBER(M53), $B64 * N53, "")</f>
        <v>-17647.058823529416</v>
      </c>
      <c r="Q53" s="284"/>
      <c r="R53" s="285"/>
      <c r="S53" s="286"/>
    </row>
    <row r="54" spans="1:19" ht="17.25" customHeight="1">
      <c r="A54" s="122" t="s">
        <v>268</v>
      </c>
      <c r="B54" s="123">
        <v>87.6</v>
      </c>
      <c r="C54" s="72">
        <v>-3.2044198900000001E-2</v>
      </c>
      <c r="D54" s="123">
        <v>78.8</v>
      </c>
      <c r="E54" s="72">
        <f>IF(ISNUMBER(D54), (D54 - $B54) / $B54, "")</f>
        <v>-0.10045662100456619</v>
      </c>
      <c r="F54" s="140">
        <f>IF(ISNUMBER(D54), $B64 * E54, "")</f>
        <v>-15068.493150684928</v>
      </c>
      <c r="G54" s="38">
        <v>75.3</v>
      </c>
      <c r="H54" s="72">
        <f>IF(ISNUMBER(G54), (G54 - $B54) / $B54, "")</f>
        <v>-0.14041095890410957</v>
      </c>
      <c r="I54" s="201">
        <f>IF(ISNUMBER(G54), $B64 * H54, "")</f>
        <v>-21061.643835616436</v>
      </c>
      <c r="J54" s="123">
        <v>77</v>
      </c>
      <c r="K54" s="72">
        <f>IF(ISNUMBER(J54), (J54 - $B54) / $B54, "")</f>
        <v>-0.1210045662100456</v>
      </c>
      <c r="L54" s="140">
        <f>IF(ISNUMBER(J54), $B64 * K54, "")</f>
        <v>-18150.684931506839</v>
      </c>
      <c r="M54" s="38">
        <v>77.900000000000006</v>
      </c>
      <c r="N54" s="72">
        <f>IF(ISNUMBER(M54), (M54 - $B54) / $B54, "")</f>
        <v>-0.11073059360730582</v>
      </c>
      <c r="O54" s="140">
        <f>IF(ISNUMBER(M54), $B64 * N54, "")</f>
        <v>-16609.589041095875</v>
      </c>
      <c r="Q54" s="287"/>
      <c r="R54" s="288"/>
      <c r="S54" s="289"/>
    </row>
    <row r="55" spans="1:19" ht="17.25" customHeight="1" thickBot="1">
      <c r="A55" s="124" t="s">
        <v>100</v>
      </c>
      <c r="B55" s="125">
        <v>8.1199999999999992</v>
      </c>
      <c r="C55" s="73">
        <v>-3.5629453700000001E-2</v>
      </c>
      <c r="D55" s="125">
        <v>7.6</v>
      </c>
      <c r="E55" s="73">
        <f t="shared" ref="E55:E58" si="22">IF(ISNUMBER(D55), (D55 - $B55) / $B55, "")</f>
        <v>-6.4039408866995023E-2</v>
      </c>
      <c r="F55" s="136">
        <f>IF(ISNUMBER(D55), $B64 * E55, "")</f>
        <v>-9605.9113300492536</v>
      </c>
      <c r="G55" s="39">
        <v>7.3</v>
      </c>
      <c r="H55" s="73">
        <f t="shared" ref="H55:H58" si="23">IF(ISNUMBER(G55), (G55 - $B55) / $B55, "")</f>
        <v>-0.10098522167487678</v>
      </c>
      <c r="I55" s="202">
        <f>IF(ISNUMBER(G55), $B64 * H55, "")</f>
        <v>-15147.783251231516</v>
      </c>
      <c r="J55" s="125">
        <v>7.42</v>
      </c>
      <c r="K55" s="73">
        <f t="shared" ref="K55:K58" si="24">IF(ISNUMBER(J55), (J55 - $B55) / $B55, "")</f>
        <v>-8.620689655172406E-2</v>
      </c>
      <c r="L55" s="136">
        <f>IF(ISNUMBER(J55), $B64 * K55, "")</f>
        <v>-12931.034482758609</v>
      </c>
      <c r="M55" s="39">
        <v>7.39</v>
      </c>
      <c r="N55" s="73">
        <f t="shared" ref="N55:N58" si="25">IF(ISNUMBER(M55), (M55 - $B55) / $B55, "")</f>
        <v>-8.9901477832512261E-2</v>
      </c>
      <c r="O55" s="136">
        <f>IF(ISNUMBER(M55), $B64 * N55, "")</f>
        <v>-13485.221674876839</v>
      </c>
      <c r="Q55" s="290"/>
      <c r="R55" s="291"/>
      <c r="S55" s="292"/>
    </row>
    <row r="56" spans="1:19" ht="17.25" customHeight="1" thickBot="1">
      <c r="A56" s="124" t="s">
        <v>220</v>
      </c>
      <c r="B56" s="125">
        <v>18.5</v>
      </c>
      <c r="C56" s="73">
        <v>-3.64583333E-2</v>
      </c>
      <c r="D56" s="125">
        <v>16.600000000000001</v>
      </c>
      <c r="E56" s="73">
        <f t="shared" si="22"/>
        <v>-0.10270270270270263</v>
      </c>
      <c r="F56" s="136">
        <f>IF(ISNUMBER(D56), $B64 * E56, "")</f>
        <v>-15405.405405405394</v>
      </c>
      <c r="G56" s="39">
        <v>16.3</v>
      </c>
      <c r="H56" s="73">
        <f t="shared" si="23"/>
        <v>-0.11891891891891888</v>
      </c>
      <c r="I56" s="202">
        <f>IF(ISNUMBER(G56), $B64 * H56, "")</f>
        <v>-17837.837837837833</v>
      </c>
      <c r="J56" s="125">
        <v>16.899999999999999</v>
      </c>
      <c r="K56" s="73">
        <f t="shared" si="24"/>
        <v>-8.6486486486486561E-2</v>
      </c>
      <c r="L56" s="136">
        <f>IF(ISNUMBER(J56), $B64 * K56, "")</f>
        <v>-12972.972972972984</v>
      </c>
      <c r="M56" s="39">
        <v>16.899999999999999</v>
      </c>
      <c r="N56" s="73">
        <f t="shared" si="25"/>
        <v>-8.6486486486486561E-2</v>
      </c>
      <c r="O56" s="136">
        <f>IF(ISNUMBER(M56), $B64 * N56, "")</f>
        <v>-12972.972972972984</v>
      </c>
      <c r="Q56" s="275"/>
      <c r="R56" s="275"/>
      <c r="S56" s="275"/>
    </row>
    <row r="57" spans="1:19" ht="17.25" customHeight="1" thickBot="1">
      <c r="A57" s="124" t="s">
        <v>152</v>
      </c>
      <c r="B57" s="125">
        <v>44.1</v>
      </c>
      <c r="C57" s="73">
        <v>-3.7117903899999999E-2</v>
      </c>
      <c r="D57" s="125">
        <v>39.9</v>
      </c>
      <c r="E57" s="73">
        <f t="shared" si="22"/>
        <v>-9.5238095238095302E-2</v>
      </c>
      <c r="F57" s="136">
        <f>IF(ISNUMBER(D57), $B64 * E57, "")</f>
        <v>-14285.714285714295</v>
      </c>
      <c r="G57" s="39">
        <v>38.299999999999997</v>
      </c>
      <c r="H57" s="73">
        <f t="shared" si="23"/>
        <v>-0.13151927437641733</v>
      </c>
      <c r="I57" s="202">
        <f>IF(ISNUMBER(G57), $B64 * H57, "")</f>
        <v>-19727.8911564626</v>
      </c>
      <c r="J57" s="125">
        <v>38.799999999999997</v>
      </c>
      <c r="K57" s="73">
        <f t="shared" si="24"/>
        <v>-0.12018140589569171</v>
      </c>
      <c r="L57" s="136">
        <f>IF(ISNUMBER(J57), $B64 * K57, "")</f>
        <v>-18027.210884353757</v>
      </c>
      <c r="M57" s="39">
        <v>38.799999999999997</v>
      </c>
      <c r="N57" s="73">
        <f t="shared" si="25"/>
        <v>-0.12018140589569171</v>
      </c>
      <c r="O57" s="136">
        <f>IF(ISNUMBER(M57), $B64 * N57, "")</f>
        <v>-18027.210884353757</v>
      </c>
      <c r="Q57" s="270"/>
      <c r="R57" s="270"/>
      <c r="S57" s="270"/>
    </row>
    <row r="58" spans="1:19" ht="17.25" customHeight="1" thickBot="1">
      <c r="A58" s="126" t="s">
        <v>266</v>
      </c>
      <c r="B58" s="127">
        <v>90.1</v>
      </c>
      <c r="C58" s="74">
        <v>-3.7393162399999999E-2</v>
      </c>
      <c r="D58" s="127">
        <v>83.9</v>
      </c>
      <c r="E58" s="74">
        <f t="shared" si="22"/>
        <v>-6.8812430632630289E-2</v>
      </c>
      <c r="F58" s="203">
        <f>IF(ISNUMBER(D58), $B64 * E58, "")</f>
        <v>-10321.864594894543</v>
      </c>
      <c r="G58" s="44">
        <v>82.6</v>
      </c>
      <c r="H58" s="74">
        <f t="shared" si="23"/>
        <v>-8.324084350721421E-2</v>
      </c>
      <c r="I58" s="204">
        <f>IF(ISNUMBER(G58), $B64 * H58, "")</f>
        <v>-12486.126526082131</v>
      </c>
      <c r="J58" s="127">
        <v>83.2</v>
      </c>
      <c r="K58" s="74">
        <f t="shared" si="24"/>
        <v>-7.6581576026636983E-2</v>
      </c>
      <c r="L58" s="203">
        <f>IF(ISNUMBER(J58), $B64 * K58, "")</f>
        <v>-11487.236403995548</v>
      </c>
      <c r="M58" s="44">
        <v>83.1</v>
      </c>
      <c r="N58" s="74">
        <f t="shared" si="25"/>
        <v>-7.7691453940066602E-2</v>
      </c>
      <c r="O58" s="203">
        <f>IF(ISNUMBER(M58), $B64 * N58, "")</f>
        <v>-11653.718091009991</v>
      </c>
      <c r="Q58" s="270"/>
      <c r="R58" s="270"/>
      <c r="S58" s="270"/>
    </row>
    <row r="59" spans="1:19" ht="17.25" customHeight="1" thickBot="1">
      <c r="A59" s="124" t="s">
        <v>65</v>
      </c>
      <c r="B59" s="128">
        <v>69.8</v>
      </c>
      <c r="C59" s="76">
        <v>-4.9046321499999997E-2</v>
      </c>
      <c r="D59" s="128">
        <v>64.900000000000006</v>
      </c>
      <c r="E59" s="76">
        <f>IF(ISNUMBER(D59), (D59 - $B59) / $B59, "")</f>
        <v>-7.0200573065902466E-2</v>
      </c>
      <c r="F59" s="205">
        <f>IF(ISNUMBER(D59), $B64 * E59, "")</f>
        <v>-10530.085959885369</v>
      </c>
      <c r="G59" s="45">
        <v>63</v>
      </c>
      <c r="H59" s="76">
        <f>IF(ISNUMBER(G59), (G59 - $B59) / $B59, "")</f>
        <v>-9.7421203438395373E-2</v>
      </c>
      <c r="I59" s="206">
        <f>IF(ISNUMBER(G59), $B64 * H59, "")</f>
        <v>-14613.180515759306</v>
      </c>
      <c r="J59" s="128">
        <v>63.8</v>
      </c>
      <c r="K59" s="76">
        <f>IF(ISNUMBER(J59), (J59 - $B59) / $B59, "")</f>
        <v>-8.5959885386819493E-2</v>
      </c>
      <c r="L59" s="205">
        <f>IF(ISNUMBER(J59), $B64 * K59, "")</f>
        <v>-12893.982808022924</v>
      </c>
      <c r="M59" s="45">
        <v>62.8</v>
      </c>
      <c r="N59" s="76">
        <f>IF(ISNUMBER(M59), (M59 - $B59) / $B59, "")</f>
        <v>-0.10028653295128941</v>
      </c>
      <c r="O59" s="205">
        <f>IF(ISNUMBER(M59), $B64 * N59, "")</f>
        <v>-15042.979942693411</v>
      </c>
      <c r="Q59" s="275"/>
      <c r="R59" s="275"/>
      <c r="S59" s="275"/>
    </row>
    <row r="60" spans="1:19" ht="17.25" customHeight="1" thickBot="1">
      <c r="A60" s="124" t="s">
        <v>126</v>
      </c>
      <c r="B60" s="125">
        <v>54.6</v>
      </c>
      <c r="C60" s="73">
        <v>-5.5363321799999997E-2</v>
      </c>
      <c r="D60" s="125">
        <v>50</v>
      </c>
      <c r="E60" s="73">
        <f t="shared" ref="E60:E63" si="26">IF(ISNUMBER(D60), (D60 - $B60) / $B60, "")</f>
        <v>-8.4249084249084269E-2</v>
      </c>
      <c r="F60" s="136">
        <f>IF(ISNUMBER(D60), $B64 * E60, "")</f>
        <v>-12637.362637362641</v>
      </c>
      <c r="G60" s="39">
        <v>48</v>
      </c>
      <c r="H60" s="73">
        <f t="shared" ref="H60:H63" si="27">IF(ISNUMBER(G60), (G60 - $B60) / $B60, "")</f>
        <v>-0.12087912087912091</v>
      </c>
      <c r="I60" s="202">
        <f>IF(ISNUMBER(G60), $B64 * H60, "")</f>
        <v>-18131.868131868137</v>
      </c>
      <c r="J60" s="125">
        <v>48.7</v>
      </c>
      <c r="K60" s="73">
        <f t="shared" ref="K60:K63" si="28">IF(ISNUMBER(J60), (J60 - $B60) / $B60, "")</f>
        <v>-0.10805860805860804</v>
      </c>
      <c r="L60" s="136">
        <f>IF(ISNUMBER(J60), $B64 * K60, "")</f>
        <v>-16208.791208791205</v>
      </c>
      <c r="M60" s="39">
        <v>49</v>
      </c>
      <c r="N60" s="73">
        <f t="shared" ref="N60:N63" si="29">IF(ISNUMBER(M60), (M60 - $B60) / $B60, "")</f>
        <v>-0.10256410256410259</v>
      </c>
      <c r="O60" s="136">
        <f>IF(ISNUMBER(M60), $B64 * N60, "")</f>
        <v>-15384.615384615388</v>
      </c>
      <c r="Q60" s="275"/>
      <c r="R60" s="275"/>
      <c r="S60" s="275"/>
    </row>
    <row r="61" spans="1:19" ht="17.25" customHeight="1" thickBot="1">
      <c r="A61" s="124" t="s">
        <v>254</v>
      </c>
      <c r="B61" s="125">
        <v>82.8</v>
      </c>
      <c r="C61" s="73">
        <v>-6.01589103E-2</v>
      </c>
      <c r="D61" s="125">
        <v>73.599999999999994</v>
      </c>
      <c r="E61" s="73">
        <f t="shared" si="26"/>
        <v>-0.11111111111111115</v>
      </c>
      <c r="F61" s="136">
        <f>IF(ISNUMBER(D61), $B64 * E61, "")</f>
        <v>-16666.666666666672</v>
      </c>
      <c r="G61" s="39">
        <v>71.2</v>
      </c>
      <c r="H61" s="73">
        <f t="shared" si="27"/>
        <v>-0.14009661835748785</v>
      </c>
      <c r="I61" s="202">
        <f>IF(ISNUMBER(G61), $B64 * H61, "")</f>
        <v>-21014.492753623177</v>
      </c>
      <c r="J61" s="125">
        <v>72.099999999999994</v>
      </c>
      <c r="K61" s="73">
        <f t="shared" si="28"/>
        <v>-0.12922705314009666</v>
      </c>
      <c r="L61" s="136">
        <f>IF(ISNUMBER(J61), $B64 * K61, "")</f>
        <v>-19384.057971014499</v>
      </c>
      <c r="M61" s="39">
        <v>72.900000000000006</v>
      </c>
      <c r="N61" s="73">
        <f t="shared" si="29"/>
        <v>-0.11956521739130425</v>
      </c>
      <c r="O61" s="136">
        <f>IF(ISNUMBER(M61), $B64 * N61, "")</f>
        <v>-17934.782608695637</v>
      </c>
      <c r="Q61" s="275"/>
      <c r="R61" s="275"/>
      <c r="S61" s="275"/>
    </row>
    <row r="62" spans="1:19" ht="17.25" customHeight="1">
      <c r="A62" s="124" t="s">
        <v>236</v>
      </c>
      <c r="B62" s="125">
        <v>83.6</v>
      </c>
      <c r="C62" s="73">
        <v>-0.17227722770000001</v>
      </c>
      <c r="D62" s="125">
        <v>74.599999999999994</v>
      </c>
      <c r="E62" s="73">
        <f t="shared" si="26"/>
        <v>-0.1076555023923445</v>
      </c>
      <c r="F62" s="136">
        <f>IF(ISNUMBER(D62), $B64 * E62, "")</f>
        <v>-16148.325358851676</v>
      </c>
      <c r="G62" s="39">
        <v>70</v>
      </c>
      <c r="H62" s="73">
        <f t="shared" si="27"/>
        <v>-0.16267942583732051</v>
      </c>
      <c r="I62" s="202">
        <f>IF(ISNUMBER(G62), $B64 * H62, "")</f>
        <v>-24401.913875598075</v>
      </c>
      <c r="J62" s="125">
        <v>72.2</v>
      </c>
      <c r="K62" s="73">
        <f t="shared" si="28"/>
        <v>-0.13636363636363627</v>
      </c>
      <c r="L62" s="136">
        <f>IF(ISNUMBER(J62), $B64 * K62, "")</f>
        <v>-20454.545454545441</v>
      </c>
      <c r="M62" s="39">
        <v>72.2</v>
      </c>
      <c r="N62" s="73">
        <f t="shared" si="29"/>
        <v>-0.13636363636363627</v>
      </c>
      <c r="O62" s="136">
        <f>IF(ISNUMBER(M62), $B64 * N62, "")</f>
        <v>-20454.545454545441</v>
      </c>
      <c r="Q62" s="297"/>
      <c r="R62" s="298"/>
      <c r="S62" s="299"/>
    </row>
    <row r="63" spans="1:19" ht="17.25" customHeight="1" thickBot="1">
      <c r="A63" s="129"/>
      <c r="B63" s="130"/>
      <c r="C63" s="75"/>
      <c r="D63" s="130" t="s">
        <v>297</v>
      </c>
      <c r="E63" s="75" t="str">
        <f t="shared" si="26"/>
        <v/>
      </c>
      <c r="F63" s="137" t="str">
        <f>IF(ISNUMBER(D63), $B64 * E63, "")</f>
        <v/>
      </c>
      <c r="G63" s="37" t="s">
        <v>297</v>
      </c>
      <c r="H63" s="75" t="str">
        <f t="shared" si="27"/>
        <v/>
      </c>
      <c r="I63" s="207" t="str">
        <f>IF(ISNUMBER(G63), $B64 * H63, "")</f>
        <v/>
      </c>
      <c r="J63" s="130" t="s">
        <v>297</v>
      </c>
      <c r="K63" s="75" t="str">
        <f t="shared" si="28"/>
        <v/>
      </c>
      <c r="L63" s="137" t="str">
        <f>IF(ISNUMBER(J63), $B64 * K63, "")</f>
        <v/>
      </c>
      <c r="M63" s="37" t="s">
        <v>297</v>
      </c>
      <c r="N63" s="75" t="str">
        <f t="shared" si="29"/>
        <v/>
      </c>
      <c r="O63" s="137" t="str">
        <f>IF(ISNUMBER(M63), $B64 * N63, "")</f>
        <v/>
      </c>
      <c r="Q63" s="300"/>
      <c r="R63" s="301"/>
      <c r="S63" s="302"/>
    </row>
    <row r="64" spans="1:19" ht="17.25" customHeight="1" thickBot="1">
      <c r="A64" s="131" t="s">
        <v>301</v>
      </c>
      <c r="B64" s="308">
        <f>$B$37</f>
        <v>150000</v>
      </c>
      <c r="C64" s="309"/>
      <c r="D64" s="131" t="s">
        <v>302</v>
      </c>
      <c r="E64" s="223">
        <f>IF(COUNT(E44:E63), SUM(E44:E63) / COUNT(E44:E63), 0)</f>
        <v>-9.2362766563491627E-2</v>
      </c>
      <c r="F64" s="208">
        <f>SUM(F44:F63)</f>
        <v>-263233.88470595115</v>
      </c>
      <c r="G64" s="131" t="s">
        <v>302</v>
      </c>
      <c r="H64" s="223">
        <f>IF(COUNT(H44:H63), SUM(H44:H63) / COUNT(H44:H63), 0)</f>
        <v>-0.12661581002444788</v>
      </c>
      <c r="I64" s="208">
        <f>SUM(I44:I63)</f>
        <v>-360855.05856967648</v>
      </c>
      <c r="J64" s="131" t="s">
        <v>302</v>
      </c>
      <c r="K64" s="223">
        <f>IF(COUNT(K44:K63), SUM(K44:K63) / COUNT(K44:K63), 0)</f>
        <v>-0.11222701611156145</v>
      </c>
      <c r="L64" s="208">
        <f>SUM(L44:L63)</f>
        <v>-319846.99591795017</v>
      </c>
      <c r="M64" s="131" t="s">
        <v>302</v>
      </c>
      <c r="N64" s="223">
        <f>IF(COUNT(N44:N63), SUM(N44:N63) / COUNT(N44:N63), 0)</f>
        <v>-0.11193500381696571</v>
      </c>
      <c r="O64" s="208">
        <f>SUM(O44:O63)</f>
        <v>-319014.76087835233</v>
      </c>
      <c r="Q64" s="303"/>
      <c r="R64" s="304"/>
      <c r="S64" s="305"/>
    </row>
    <row r="65" spans="1:19" ht="17.25" customHeight="1"/>
    <row r="66" spans="1:19" ht="17.25" customHeight="1" thickBot="1"/>
    <row r="67" spans="1:19" ht="17.25" thickBot="1">
      <c r="A67" s="249" t="s">
        <v>45</v>
      </c>
      <c r="B67" s="250"/>
      <c r="C67" s="250"/>
      <c r="D67" s="250"/>
      <c r="E67" s="250"/>
      <c r="F67" s="250"/>
      <c r="G67" s="250"/>
      <c r="H67" s="250"/>
      <c r="I67" s="250"/>
      <c r="J67" s="250"/>
      <c r="K67" s="250"/>
      <c r="L67" s="250"/>
      <c r="M67" s="250"/>
      <c r="N67" s="250"/>
      <c r="O67" s="251"/>
      <c r="Q67" s="270"/>
      <c r="R67" s="270"/>
      <c r="S67" s="270"/>
    </row>
    <row r="68" spans="1:19" ht="17.25" thickBot="1">
      <c r="A68" s="217" t="s">
        <v>298</v>
      </c>
      <c r="B68" s="249" t="s">
        <v>49</v>
      </c>
      <c r="C68" s="251"/>
      <c r="D68" s="249" t="s">
        <v>58</v>
      </c>
      <c r="E68" s="250"/>
      <c r="F68" s="251"/>
      <c r="G68" s="276">
        <f>_xlfn.IFNA(VLOOKUP(B68, 현재가테이블!$B$2:$D$200, 2, FALSE), "-")</f>
        <v>60874000</v>
      </c>
      <c r="H68" s="277"/>
      <c r="I68" s="278"/>
      <c r="J68" s="249" t="s">
        <v>59</v>
      </c>
      <c r="K68" s="250"/>
      <c r="L68" s="251"/>
      <c r="M68" s="279">
        <f>_xlfn.IFNA(VLOOKUP(B68, 현재가테이블!$B$2:$D$200, 3, FALSE), "-")</f>
        <v>-1.4936000099999999E-2</v>
      </c>
      <c r="N68" s="280"/>
      <c r="O68" s="281"/>
      <c r="Q68" s="270"/>
      <c r="R68" s="270"/>
      <c r="S68" s="270"/>
    </row>
    <row r="69" spans="1:19" ht="17.25" thickBot="1">
      <c r="A69" s="310" t="s">
        <v>55</v>
      </c>
      <c r="B69" s="312" t="str">
        <f>TEXT($G$1, "[$-ko-KR]yyyy-mm-dd(ddd) ") &amp; "오전 00:00"</f>
        <v>2021-05-13(목) 오전 00:00</v>
      </c>
      <c r="C69" s="313"/>
      <c r="D69" s="249" t="str">
        <f>TEXT($G$1, "[$-ko-KR]yyyy-mm-dd(ddd) ") &amp; "오후 14:00"</f>
        <v>2021-05-13(목) 오후 14:00</v>
      </c>
      <c r="E69" s="250"/>
      <c r="F69" s="251"/>
      <c r="G69" s="249" t="str">
        <f>TEXT($G$1, "[$-ko-KR]yyyy-mm-dd(ddd) ") &amp; "오후 19:00"</f>
        <v>2021-05-13(목) 오후 19:00</v>
      </c>
      <c r="H69" s="250"/>
      <c r="I69" s="251"/>
      <c r="J69" s="249" t="str">
        <f>TEXT($G$1, "[$-ko-KR]yyyy-mm-dd(ddd) ") &amp; "오후 21:00"</f>
        <v>2021-05-13(목) 오후 21:00</v>
      </c>
      <c r="K69" s="250"/>
      <c r="L69" s="251"/>
      <c r="M69" s="249" t="str">
        <f>TEXT($G$1+1, "[$-ko-KR]yyyy-mm-dd(ddd) ") &amp; "오전 00:00"</f>
        <v>2021-05-14(금) 오전 00:00</v>
      </c>
      <c r="N69" s="250"/>
      <c r="O69" s="251"/>
      <c r="Q69" s="270"/>
      <c r="R69" s="270"/>
      <c r="S69" s="270"/>
    </row>
    <row r="70" spans="1:19" ht="17.25" thickBot="1">
      <c r="A70" s="311"/>
      <c r="B70" s="120" t="s">
        <v>58</v>
      </c>
      <c r="C70" s="121" t="s">
        <v>59</v>
      </c>
      <c r="D70" s="120" t="s">
        <v>58</v>
      </c>
      <c r="E70" s="121" t="s">
        <v>299</v>
      </c>
      <c r="F70" s="224" t="s">
        <v>300</v>
      </c>
      <c r="G70" s="217" t="s">
        <v>58</v>
      </c>
      <c r="H70" s="218" t="s">
        <v>299</v>
      </c>
      <c r="I70" s="219" t="s">
        <v>300</v>
      </c>
      <c r="J70" s="121" t="s">
        <v>58</v>
      </c>
      <c r="K70" s="121" t="s">
        <v>299</v>
      </c>
      <c r="L70" s="221" t="s">
        <v>300</v>
      </c>
      <c r="M70" s="120" t="s">
        <v>58</v>
      </c>
      <c r="N70" s="121" t="s">
        <v>299</v>
      </c>
      <c r="O70" s="222" t="s">
        <v>300</v>
      </c>
      <c r="Q70" s="275"/>
      <c r="R70" s="275"/>
      <c r="S70" s="275"/>
    </row>
    <row r="71" spans="1:19" ht="17.25" thickBot="1">
      <c r="A71" s="122" t="s">
        <v>208</v>
      </c>
      <c r="B71" s="123">
        <v>555</v>
      </c>
      <c r="C71" s="72">
        <v>0.19098712449999999</v>
      </c>
      <c r="D71" s="123">
        <v>481</v>
      </c>
      <c r="E71" s="72">
        <f>IF(ISNUMBER(D71), (D71 - $B71) / $B71, "")</f>
        <v>-0.13333333333333333</v>
      </c>
      <c r="F71" s="140">
        <f>IF(ISNUMBER(D71), $B91 * E71, "")</f>
        <v>-20000</v>
      </c>
      <c r="G71" s="38">
        <v>446</v>
      </c>
      <c r="H71" s="72">
        <f>IF(ISNUMBER(G71), (G71 - $B71) / $B71, "")</f>
        <v>-0.19639639639639639</v>
      </c>
      <c r="I71" s="201">
        <f>IF(ISNUMBER(G71), $B91 * H71, "")</f>
        <v>-29459.45945945946</v>
      </c>
      <c r="J71" s="123">
        <v>453</v>
      </c>
      <c r="K71" s="72">
        <f>IF(ISNUMBER(J71), (J71 - $B71) / $B71, "")</f>
        <v>-0.18378378378378379</v>
      </c>
      <c r="L71" s="140">
        <f>IF(ISNUMBER(J71), $B91 * K71, "")</f>
        <v>-27567.56756756757</v>
      </c>
      <c r="M71" s="38">
        <v>448</v>
      </c>
      <c r="N71" s="72">
        <f>IF(ISNUMBER(M71), (M71 - $B71) / $B71, "")</f>
        <v>-0.19279279279279279</v>
      </c>
      <c r="O71" s="140">
        <f>IF(ISNUMBER(M71), $B91 * N71, "")</f>
        <v>-28918.91891891892</v>
      </c>
      <c r="Q71" s="270"/>
      <c r="R71" s="270"/>
      <c r="S71" s="270"/>
    </row>
    <row r="72" spans="1:19" ht="17.25" thickBot="1">
      <c r="A72" s="124" t="s">
        <v>134</v>
      </c>
      <c r="B72" s="125">
        <v>160</v>
      </c>
      <c r="C72" s="73">
        <v>1.9108280299999999E-2</v>
      </c>
      <c r="D72" s="125">
        <v>147</v>
      </c>
      <c r="E72" s="73">
        <f t="shared" ref="E72:E75" si="30">IF(ISNUMBER(D72), (D72 - $B72) / $B72, "")</f>
        <v>-8.1250000000000003E-2</v>
      </c>
      <c r="F72" s="136">
        <f>IF(ISNUMBER(D72), $B91 * E72, "")</f>
        <v>-12187.5</v>
      </c>
      <c r="G72" s="39">
        <v>138</v>
      </c>
      <c r="H72" s="73">
        <f t="shared" ref="H72:H75" si="31">IF(ISNUMBER(G72), (G72 - $B72) / $B72, "")</f>
        <v>-0.13750000000000001</v>
      </c>
      <c r="I72" s="202">
        <f>IF(ISNUMBER(G72), $B91 * H72, "")</f>
        <v>-20625</v>
      </c>
      <c r="J72" s="125">
        <v>142</v>
      </c>
      <c r="K72" s="73">
        <f t="shared" ref="K72:K75" si="32">IF(ISNUMBER(J72), (J72 - $B72) / $B72, "")</f>
        <v>-0.1125</v>
      </c>
      <c r="L72" s="136">
        <f>IF(ISNUMBER(J72), $B91 * K72, "")</f>
        <v>-16875</v>
      </c>
      <c r="M72" s="39">
        <v>141</v>
      </c>
      <c r="N72" s="73">
        <f t="shared" ref="N72:N75" si="33">IF(ISNUMBER(M72), (M72 - $B72) / $B72, "")</f>
        <v>-0.11874999999999999</v>
      </c>
      <c r="O72" s="136">
        <f>IF(ISNUMBER(M72), $B91 * N72, "")</f>
        <v>-17812.5</v>
      </c>
      <c r="Q72" s="270"/>
      <c r="R72" s="270"/>
      <c r="S72" s="270"/>
    </row>
    <row r="73" spans="1:19" ht="17.25" thickBot="1">
      <c r="A73" s="124" t="s">
        <v>256</v>
      </c>
      <c r="B73" s="125">
        <v>247</v>
      </c>
      <c r="C73" s="73">
        <v>1.6460905299999998E-2</v>
      </c>
      <c r="D73" s="125">
        <v>224</v>
      </c>
      <c r="E73" s="73">
        <f t="shared" si="30"/>
        <v>-9.3117408906882596E-2</v>
      </c>
      <c r="F73" s="136">
        <f>IF(ISNUMBER(D73), $B91 * E73, "")</f>
        <v>-13967.611336032389</v>
      </c>
      <c r="G73" s="39">
        <v>232</v>
      </c>
      <c r="H73" s="73">
        <f t="shared" si="31"/>
        <v>-6.0728744939271252E-2</v>
      </c>
      <c r="I73" s="202">
        <f>IF(ISNUMBER(G73), $B91 * H73, "")</f>
        <v>-9109.3117408906874</v>
      </c>
      <c r="J73" s="125">
        <v>232</v>
      </c>
      <c r="K73" s="73">
        <f t="shared" si="32"/>
        <v>-6.0728744939271252E-2</v>
      </c>
      <c r="L73" s="136">
        <f>IF(ISNUMBER(J73), $B91 * K73, "")</f>
        <v>-9109.3117408906874</v>
      </c>
      <c r="M73" s="39">
        <v>229</v>
      </c>
      <c r="N73" s="73">
        <f t="shared" si="33"/>
        <v>-7.28744939271255E-2</v>
      </c>
      <c r="O73" s="136">
        <f>IF(ISNUMBER(M73), $B91 * N73, "")</f>
        <v>-10931.174089068825</v>
      </c>
      <c r="Q73" s="275"/>
      <c r="R73" s="275"/>
      <c r="S73" s="275"/>
    </row>
    <row r="74" spans="1:19" ht="17.25" thickBot="1">
      <c r="A74" s="124" t="s">
        <v>120</v>
      </c>
      <c r="B74" s="125">
        <v>215</v>
      </c>
      <c r="C74" s="73">
        <v>1.4150943399999999E-2</v>
      </c>
      <c r="D74" s="125">
        <v>203</v>
      </c>
      <c r="E74" s="73">
        <f t="shared" si="30"/>
        <v>-5.5813953488372092E-2</v>
      </c>
      <c r="F74" s="136">
        <f>IF(ISNUMBER(D74), $B91 * E74, "")</f>
        <v>-8372.093023255813</v>
      </c>
      <c r="G74" s="39">
        <v>197</v>
      </c>
      <c r="H74" s="73">
        <f t="shared" si="31"/>
        <v>-8.3720930232558138E-2</v>
      </c>
      <c r="I74" s="202">
        <f>IF(ISNUMBER(G74), $B91 * H74, "")</f>
        <v>-12558.139534883721</v>
      </c>
      <c r="J74" s="125">
        <v>199</v>
      </c>
      <c r="K74" s="73">
        <f t="shared" si="32"/>
        <v>-7.441860465116279E-2</v>
      </c>
      <c r="L74" s="136">
        <f>IF(ISNUMBER(J74), $B91 * K74, "")</f>
        <v>-11162.790697674418</v>
      </c>
      <c r="M74" s="39">
        <v>199</v>
      </c>
      <c r="N74" s="73">
        <f t="shared" si="33"/>
        <v>-7.441860465116279E-2</v>
      </c>
      <c r="O74" s="136">
        <f>IF(ISNUMBER(M74), $B91 * N74, "")</f>
        <v>-11162.790697674418</v>
      </c>
      <c r="Q74" s="275"/>
      <c r="R74" s="275"/>
      <c r="S74" s="275"/>
    </row>
    <row r="75" spans="1:19" ht="17.25" thickBot="1">
      <c r="A75" s="126" t="s">
        <v>264</v>
      </c>
      <c r="B75" s="127">
        <v>166</v>
      </c>
      <c r="C75" s="74">
        <v>6.0606061000000001E-3</v>
      </c>
      <c r="D75" s="127">
        <v>152</v>
      </c>
      <c r="E75" s="74">
        <f t="shared" si="30"/>
        <v>-8.4337349397590355E-2</v>
      </c>
      <c r="F75" s="203">
        <f>IF(ISNUMBER(D75), $B91 * E75, "")</f>
        <v>-12650.602409638554</v>
      </c>
      <c r="G75" s="44">
        <v>144</v>
      </c>
      <c r="H75" s="74">
        <f t="shared" si="31"/>
        <v>-0.13253012048192772</v>
      </c>
      <c r="I75" s="204">
        <f>IF(ISNUMBER(G75), $B91 * H75, "")</f>
        <v>-19879.518072289156</v>
      </c>
      <c r="J75" s="127">
        <v>148</v>
      </c>
      <c r="K75" s="74">
        <f t="shared" si="32"/>
        <v>-0.10843373493975904</v>
      </c>
      <c r="L75" s="203">
        <f>IF(ISNUMBER(J75), $B91 * K75, "")</f>
        <v>-16265.060240963856</v>
      </c>
      <c r="M75" s="44">
        <v>147</v>
      </c>
      <c r="N75" s="74">
        <f t="shared" si="33"/>
        <v>-0.1144578313253012</v>
      </c>
      <c r="O75" s="203">
        <f>IF(ISNUMBER(M75), $B91 * N75, "")</f>
        <v>-17168.674698795181</v>
      </c>
      <c r="Q75" s="275"/>
      <c r="R75" s="275"/>
      <c r="S75" s="275"/>
    </row>
    <row r="76" spans="1:19" ht="17.25" thickBot="1">
      <c r="A76" s="124" t="s">
        <v>230</v>
      </c>
      <c r="B76" s="128">
        <v>168</v>
      </c>
      <c r="C76" s="76">
        <v>5.9880239999999998E-3</v>
      </c>
      <c r="D76" s="128">
        <v>149</v>
      </c>
      <c r="E76" s="76">
        <f>IF(ISNUMBER(D76), (D76 - $B76) / $B76, "")</f>
        <v>-0.1130952380952381</v>
      </c>
      <c r="F76" s="205">
        <f>IF(ISNUMBER(D76), $B91 * E76, "")</f>
        <v>-16964.285714285714</v>
      </c>
      <c r="G76" s="45">
        <v>142</v>
      </c>
      <c r="H76" s="76">
        <f>IF(ISNUMBER(G76), (G76 - $B76) / $B76, "")</f>
        <v>-0.15476190476190477</v>
      </c>
      <c r="I76" s="206">
        <f>IF(ISNUMBER(G76), $B91 * H76, "")</f>
        <v>-23214.285714285714</v>
      </c>
      <c r="J76" s="128">
        <v>142</v>
      </c>
      <c r="K76" s="76">
        <f>IF(ISNUMBER(J76), (J76 - $B76) / $B76, "")</f>
        <v>-0.15476190476190477</v>
      </c>
      <c r="L76" s="205">
        <f>IF(ISNUMBER(J76), $B91 * K76, "")</f>
        <v>-23214.285714285714</v>
      </c>
      <c r="M76" s="45">
        <v>145</v>
      </c>
      <c r="N76" s="76">
        <f>IF(ISNUMBER(M76), (M76 - $B76) / $B76, "")</f>
        <v>-0.13690476190476192</v>
      </c>
      <c r="O76" s="205">
        <f>IF(ISNUMBER(M76), $B91 * N76, "")</f>
        <v>-20535.714285714286</v>
      </c>
      <c r="Q76" s="275"/>
      <c r="R76" s="275"/>
      <c r="S76" s="275"/>
    </row>
    <row r="77" spans="1:19" ht="17.25" thickBot="1">
      <c r="A77" s="124" t="s">
        <v>282</v>
      </c>
      <c r="B77" s="125">
        <v>169</v>
      </c>
      <c r="C77" s="73">
        <v>5.9523809999999996E-3</v>
      </c>
      <c r="D77" s="125">
        <v>159</v>
      </c>
      <c r="E77" s="73">
        <f t="shared" ref="E77:E80" si="34">IF(ISNUMBER(D77), (D77 - $B77) / $B77, "")</f>
        <v>-5.9171597633136092E-2</v>
      </c>
      <c r="F77" s="136">
        <f>IF(ISNUMBER(D77), $B91 * E77, "")</f>
        <v>-8875.7396449704138</v>
      </c>
      <c r="G77" s="39">
        <v>149</v>
      </c>
      <c r="H77" s="73">
        <f t="shared" ref="H77:H80" si="35">IF(ISNUMBER(G77), (G77 - $B77) / $B77, "")</f>
        <v>-0.11834319526627218</v>
      </c>
      <c r="I77" s="202">
        <f>IF(ISNUMBER(G77), $B91 * H77, "")</f>
        <v>-17751.479289940828</v>
      </c>
      <c r="J77" s="125">
        <v>152</v>
      </c>
      <c r="K77" s="73">
        <f t="shared" ref="K77:K80" si="36">IF(ISNUMBER(J77), (J77 - $B77) / $B77, "")</f>
        <v>-0.10059171597633136</v>
      </c>
      <c r="L77" s="136">
        <f>IF(ISNUMBER(J77), $B91 * K77, "")</f>
        <v>-15088.757396449704</v>
      </c>
      <c r="M77" s="39">
        <v>149</v>
      </c>
      <c r="N77" s="73">
        <f t="shared" ref="N77:N80" si="37">IF(ISNUMBER(M77), (M77 - $B77) / $B77, "")</f>
        <v>-0.11834319526627218</v>
      </c>
      <c r="O77" s="136">
        <f>IF(ISNUMBER(M77), $B91 * N77, "")</f>
        <v>-17751.479289940828</v>
      </c>
      <c r="Q77" s="275"/>
      <c r="R77" s="275"/>
      <c r="S77" s="275"/>
    </row>
    <row r="78" spans="1:19" ht="17.25" thickBot="1">
      <c r="A78" s="124" t="s">
        <v>240</v>
      </c>
      <c r="B78" s="125">
        <v>173</v>
      </c>
      <c r="C78" s="73">
        <v>5.8139534999999999E-3</v>
      </c>
      <c r="D78" s="125">
        <v>159</v>
      </c>
      <c r="E78" s="73">
        <f t="shared" si="34"/>
        <v>-8.0924855491329481E-2</v>
      </c>
      <c r="F78" s="136">
        <f>IF(ISNUMBER(D78), $B91 * E78, "")</f>
        <v>-12138.728323699423</v>
      </c>
      <c r="G78" s="39">
        <v>147</v>
      </c>
      <c r="H78" s="73">
        <f t="shared" si="35"/>
        <v>-0.15028901734104047</v>
      </c>
      <c r="I78" s="202">
        <f>IF(ISNUMBER(G78), $B91 * H78, "")</f>
        <v>-22543.352601156072</v>
      </c>
      <c r="J78" s="125">
        <v>148</v>
      </c>
      <c r="K78" s="73">
        <f t="shared" si="36"/>
        <v>-0.14450867052023122</v>
      </c>
      <c r="L78" s="136">
        <f>IF(ISNUMBER(J78), $B91 * K78, "")</f>
        <v>-21676.300578034683</v>
      </c>
      <c r="M78" s="39">
        <v>149</v>
      </c>
      <c r="N78" s="73">
        <f t="shared" si="37"/>
        <v>-0.13872832369942195</v>
      </c>
      <c r="O78" s="136">
        <f>IF(ISNUMBER(M78), $B91 * N78, "")</f>
        <v>-20809.248554913294</v>
      </c>
      <c r="Q78" s="275"/>
      <c r="R78" s="275"/>
      <c r="S78" s="275"/>
    </row>
    <row r="79" spans="1:19" ht="17.25" thickBot="1">
      <c r="A79" s="124" t="s">
        <v>246</v>
      </c>
      <c r="B79" s="125">
        <v>371</v>
      </c>
      <c r="C79" s="73">
        <v>5.4200541999999997E-3</v>
      </c>
      <c r="D79" s="125">
        <v>320</v>
      </c>
      <c r="E79" s="73">
        <f t="shared" si="34"/>
        <v>-0.13746630727762804</v>
      </c>
      <c r="F79" s="136">
        <f>IF(ISNUMBER(D79), $B91 * E79, "")</f>
        <v>-20619.946091644208</v>
      </c>
      <c r="G79" s="39">
        <v>311</v>
      </c>
      <c r="H79" s="73">
        <f t="shared" si="35"/>
        <v>-0.16172506738544473</v>
      </c>
      <c r="I79" s="202">
        <f>IF(ISNUMBER(G79), $B91 * H79, "")</f>
        <v>-24258.76010781671</v>
      </c>
      <c r="J79" s="125">
        <v>317</v>
      </c>
      <c r="K79" s="73">
        <f t="shared" si="36"/>
        <v>-0.14555256064690028</v>
      </c>
      <c r="L79" s="136">
        <f>IF(ISNUMBER(J79), $B91 * K79, "")</f>
        <v>-21832.884097035043</v>
      </c>
      <c r="M79" s="39">
        <v>317</v>
      </c>
      <c r="N79" s="73">
        <f t="shared" si="37"/>
        <v>-0.14555256064690028</v>
      </c>
      <c r="O79" s="136">
        <f>IF(ISNUMBER(M79), $B91 * N79, "")</f>
        <v>-21832.884097035043</v>
      </c>
      <c r="Q79" s="33"/>
      <c r="R79" s="33"/>
    </row>
    <row r="80" spans="1:19" ht="17.25" thickBot="1">
      <c r="A80" s="129" t="s">
        <v>200</v>
      </c>
      <c r="B80" s="130">
        <v>340</v>
      </c>
      <c r="C80" s="75">
        <v>2.9498524999999999E-3</v>
      </c>
      <c r="D80" s="130">
        <v>304</v>
      </c>
      <c r="E80" s="75">
        <f t="shared" si="34"/>
        <v>-0.10588235294117647</v>
      </c>
      <c r="F80" s="137">
        <f>IF(ISNUMBER(D80), $B91 * E80, "")</f>
        <v>-15882.35294117647</v>
      </c>
      <c r="G80" s="37">
        <v>298</v>
      </c>
      <c r="H80" s="75">
        <f t="shared" si="35"/>
        <v>-0.12352941176470589</v>
      </c>
      <c r="I80" s="207">
        <f>IF(ISNUMBER(G80), $B91 * H80, "")</f>
        <v>-18529.411764705885</v>
      </c>
      <c r="J80" s="130">
        <v>301</v>
      </c>
      <c r="K80" s="75">
        <f t="shared" si="36"/>
        <v>-0.11470588235294117</v>
      </c>
      <c r="L80" s="137">
        <f>IF(ISNUMBER(J80), $B91 * K80, "")</f>
        <v>-17205.882352941175</v>
      </c>
      <c r="M80" s="37">
        <v>300</v>
      </c>
      <c r="N80" s="75">
        <f t="shared" si="37"/>
        <v>-0.11764705882352941</v>
      </c>
      <c r="O80" s="137">
        <f>IF(ISNUMBER(M80), $B91 * N80, "")</f>
        <v>-17647.058823529413</v>
      </c>
      <c r="Q80" s="284"/>
      <c r="R80" s="285"/>
      <c r="S80" s="286"/>
    </row>
    <row r="81" spans="1:19">
      <c r="A81" s="122" t="s">
        <v>232</v>
      </c>
      <c r="B81" s="123">
        <v>173</v>
      </c>
      <c r="C81" s="72">
        <v>0</v>
      </c>
      <c r="D81" s="123">
        <v>148</v>
      </c>
      <c r="E81" s="72">
        <f>IF(ISNUMBER(D81), (D81 - $B81) / $B81, "")</f>
        <v>-0.14450867052023122</v>
      </c>
      <c r="F81" s="140">
        <f>IF(ISNUMBER(D81), $B91 * E81, "")</f>
        <v>-21676.300578034683</v>
      </c>
      <c r="G81" s="38">
        <v>143</v>
      </c>
      <c r="H81" s="72">
        <f>IF(ISNUMBER(G81), (G81 - $B81) / $B81, "")</f>
        <v>-0.17341040462427745</v>
      </c>
      <c r="I81" s="201">
        <f>IF(ISNUMBER(G81), $B91 * H81, "")</f>
        <v>-26011.560693641619</v>
      </c>
      <c r="J81" s="123">
        <v>147</v>
      </c>
      <c r="K81" s="72">
        <f>IF(ISNUMBER(J81), (J81 - $B81) / $B81, "")</f>
        <v>-0.15028901734104047</v>
      </c>
      <c r="L81" s="140">
        <f>IF(ISNUMBER(J81), $B91 * K81, "")</f>
        <v>-22543.352601156072</v>
      </c>
      <c r="M81" s="38">
        <v>144</v>
      </c>
      <c r="N81" s="72">
        <f>IF(ISNUMBER(M81), (M81 - $B81) / $B81, "")</f>
        <v>-0.16763005780346821</v>
      </c>
      <c r="O81" s="140">
        <f>IF(ISNUMBER(M81), $B91 * N81, "")</f>
        <v>-25144.50867052023</v>
      </c>
      <c r="Q81" s="287"/>
      <c r="R81" s="288"/>
      <c r="S81" s="289"/>
    </row>
    <row r="82" spans="1:19" ht="17.25" thickBot="1">
      <c r="A82" s="124" t="s">
        <v>174</v>
      </c>
      <c r="B82" s="125">
        <v>267</v>
      </c>
      <c r="C82" s="73">
        <v>-3.7313432999999999E-3</v>
      </c>
      <c r="D82" s="125">
        <v>244</v>
      </c>
      <c r="E82" s="73">
        <f t="shared" ref="E82:E85" si="38">IF(ISNUMBER(D82), (D82 - $B82) / $B82, "")</f>
        <v>-8.6142322097378279E-2</v>
      </c>
      <c r="F82" s="136">
        <f>IF(ISNUMBER(D82), $B91 * E82, "")</f>
        <v>-12921.348314606741</v>
      </c>
      <c r="G82" s="39">
        <v>239</v>
      </c>
      <c r="H82" s="73">
        <f t="shared" ref="H82:H85" si="39">IF(ISNUMBER(G82), (G82 - $B82) / $B82, "")</f>
        <v>-0.10486891385767791</v>
      </c>
      <c r="I82" s="202">
        <f>IF(ISNUMBER(G82), $B91 * H82, "")</f>
        <v>-15730.337078651686</v>
      </c>
      <c r="J82" s="125">
        <v>241</v>
      </c>
      <c r="K82" s="73">
        <f t="shared" ref="K82:K85" si="40">IF(ISNUMBER(J82), (J82 - $B82) / $B82, "")</f>
        <v>-9.7378277153558054E-2</v>
      </c>
      <c r="L82" s="136">
        <f>IF(ISNUMBER(J82), $B91 * K82, "")</f>
        <v>-14606.741573033709</v>
      </c>
      <c r="M82" s="39">
        <v>243</v>
      </c>
      <c r="N82" s="73">
        <f t="shared" ref="N82:N85" si="41">IF(ISNUMBER(M82), (M82 - $B82) / $B82, "")</f>
        <v>-8.98876404494382E-2</v>
      </c>
      <c r="O82" s="136">
        <f>IF(ISNUMBER(M82), $B91 * N82, "")</f>
        <v>-13483.14606741573</v>
      </c>
      <c r="Q82" s="290"/>
      <c r="R82" s="291"/>
      <c r="S82" s="292"/>
    </row>
    <row r="83" spans="1:19" ht="17.25" thickBot="1">
      <c r="A83" s="124" t="s">
        <v>112</v>
      </c>
      <c r="B83" s="125">
        <v>252</v>
      </c>
      <c r="C83" s="73">
        <v>-3.9525691999999996E-3</v>
      </c>
      <c r="D83" s="125">
        <v>232</v>
      </c>
      <c r="E83" s="73">
        <f t="shared" si="38"/>
        <v>-7.9365079365079361E-2</v>
      </c>
      <c r="F83" s="136">
        <f>IF(ISNUMBER(D83), $B91 * E83, "")</f>
        <v>-11904.761904761905</v>
      </c>
      <c r="G83" s="39">
        <v>225</v>
      </c>
      <c r="H83" s="73">
        <f t="shared" si="39"/>
        <v>-0.10714285714285714</v>
      </c>
      <c r="I83" s="202">
        <f>IF(ISNUMBER(G83), $B91 * H83, "")</f>
        <v>-16071.428571428571</v>
      </c>
      <c r="J83" s="125">
        <v>228</v>
      </c>
      <c r="K83" s="73">
        <f t="shared" si="40"/>
        <v>-9.5238095238095233E-2</v>
      </c>
      <c r="L83" s="136">
        <f>IF(ISNUMBER(J83), $B91 * K83, "")</f>
        <v>-14285.714285714284</v>
      </c>
      <c r="M83" s="39">
        <v>227</v>
      </c>
      <c r="N83" s="73">
        <f t="shared" si="41"/>
        <v>-9.9206349206349201E-2</v>
      </c>
      <c r="O83" s="136">
        <f>IF(ISNUMBER(M83), $B91 * N83, "")</f>
        <v>-14880.95238095238</v>
      </c>
      <c r="Q83" s="275"/>
      <c r="R83" s="275"/>
      <c r="S83" s="275"/>
    </row>
    <row r="84" spans="1:19" ht="17.25" thickBot="1">
      <c r="A84" s="124" t="s">
        <v>260</v>
      </c>
      <c r="B84" s="125">
        <v>126</v>
      </c>
      <c r="C84" s="73">
        <v>-7.8740157000000005E-3</v>
      </c>
      <c r="D84" s="125">
        <v>124</v>
      </c>
      <c r="E84" s="73">
        <f t="shared" si="38"/>
        <v>-1.5873015873015872E-2</v>
      </c>
      <c r="F84" s="136">
        <f>IF(ISNUMBER(D84), $B91 * E84, "")</f>
        <v>-2380.9523809523807</v>
      </c>
      <c r="G84" s="39">
        <v>115</v>
      </c>
      <c r="H84" s="73">
        <f t="shared" si="39"/>
        <v>-8.7301587301587297E-2</v>
      </c>
      <c r="I84" s="202">
        <f>IF(ISNUMBER(G84), $B91 * H84, "")</f>
        <v>-13095.238095238095</v>
      </c>
      <c r="J84" s="125">
        <v>117</v>
      </c>
      <c r="K84" s="73">
        <f t="shared" si="40"/>
        <v>-7.1428571428571425E-2</v>
      </c>
      <c r="L84" s="136">
        <f>IF(ISNUMBER(J84), $B91 * K84, "")</f>
        <v>-10714.285714285714</v>
      </c>
      <c r="M84" s="39">
        <v>115</v>
      </c>
      <c r="N84" s="73">
        <f t="shared" si="41"/>
        <v>-8.7301587301587297E-2</v>
      </c>
      <c r="O84" s="136">
        <f>IF(ISNUMBER(M84), $B91 * N84, "")</f>
        <v>-13095.238095238095</v>
      </c>
      <c r="Q84" s="270"/>
      <c r="R84" s="270"/>
      <c r="S84" s="270"/>
    </row>
    <row r="85" spans="1:19" ht="17.25" thickBot="1">
      <c r="A85" s="126" t="s">
        <v>122</v>
      </c>
      <c r="B85" s="127">
        <v>112</v>
      </c>
      <c r="C85" s="74">
        <v>-8.8495575000000007E-3</v>
      </c>
      <c r="D85" s="127">
        <v>105</v>
      </c>
      <c r="E85" s="74">
        <f t="shared" si="38"/>
        <v>-6.25E-2</v>
      </c>
      <c r="F85" s="203">
        <f>IF(ISNUMBER(D85), $B91 * E85, "")</f>
        <v>-9375</v>
      </c>
      <c r="G85" s="44">
        <v>103</v>
      </c>
      <c r="H85" s="74">
        <f t="shared" si="39"/>
        <v>-8.0357142857142863E-2</v>
      </c>
      <c r="I85" s="204">
        <f>IF(ISNUMBER(G85), $B91 * H85, "")</f>
        <v>-12053.571428571429</v>
      </c>
      <c r="J85" s="127">
        <v>105</v>
      </c>
      <c r="K85" s="74">
        <f t="shared" si="40"/>
        <v>-6.25E-2</v>
      </c>
      <c r="L85" s="203">
        <f>IF(ISNUMBER(J85), $B91 * K85, "")</f>
        <v>-9375</v>
      </c>
      <c r="M85" s="44">
        <v>106</v>
      </c>
      <c r="N85" s="74">
        <f t="shared" si="41"/>
        <v>-5.3571428571428568E-2</v>
      </c>
      <c r="O85" s="203">
        <f>IF(ISNUMBER(M85), $B91 * N85, "")</f>
        <v>-8035.7142857142853</v>
      </c>
      <c r="Q85" s="270"/>
      <c r="R85" s="270"/>
      <c r="S85" s="270"/>
    </row>
    <row r="86" spans="1:19" ht="17.25" thickBot="1">
      <c r="A86" s="124" t="s">
        <v>202</v>
      </c>
      <c r="B86" s="128">
        <v>190</v>
      </c>
      <c r="C86" s="76">
        <v>-1.04166667E-2</v>
      </c>
      <c r="D86" s="128">
        <v>173</v>
      </c>
      <c r="E86" s="76">
        <f>IF(ISNUMBER(D86), (D86 - $B86) / $B86, "")</f>
        <v>-8.9473684210526316E-2</v>
      </c>
      <c r="F86" s="205">
        <f>IF(ISNUMBER(D86), $B91 * E86, "")</f>
        <v>-13421.052631578947</v>
      </c>
      <c r="G86" s="45">
        <v>163</v>
      </c>
      <c r="H86" s="76">
        <f>IF(ISNUMBER(G86), (G86 - $B86) / $B86, "")</f>
        <v>-0.14210526315789473</v>
      </c>
      <c r="I86" s="206">
        <f>IF(ISNUMBER(G86), $B91 * H86, "")</f>
        <v>-21315.78947368421</v>
      </c>
      <c r="J86" s="128">
        <v>170</v>
      </c>
      <c r="K86" s="76">
        <f>IF(ISNUMBER(J86), (J86 - $B86) / $B86, "")</f>
        <v>-0.10526315789473684</v>
      </c>
      <c r="L86" s="205">
        <f>IF(ISNUMBER(J86), $B91 * K86, "")</f>
        <v>-15789.473684210525</v>
      </c>
      <c r="M86" s="45">
        <v>165</v>
      </c>
      <c r="N86" s="76">
        <f>IF(ISNUMBER(M86), (M86 - $B86) / $B86, "")</f>
        <v>-0.13157894736842105</v>
      </c>
      <c r="O86" s="205">
        <f>IF(ISNUMBER(M86), $B91 * N86, "")</f>
        <v>-19736.842105263157</v>
      </c>
      <c r="Q86" s="275"/>
      <c r="R86" s="275"/>
      <c r="S86" s="275"/>
    </row>
    <row r="87" spans="1:19" ht="17.25" thickBot="1">
      <c r="A87" s="124" t="s">
        <v>238</v>
      </c>
      <c r="B87" s="125">
        <v>276</v>
      </c>
      <c r="C87" s="73">
        <v>-1.0752688200000001E-2</v>
      </c>
      <c r="D87" s="125">
        <v>241</v>
      </c>
      <c r="E87" s="73">
        <f t="shared" ref="E87:E90" si="42">IF(ISNUMBER(D87), (D87 - $B87) / $B87, "")</f>
        <v>-0.12681159420289856</v>
      </c>
      <c r="F87" s="136">
        <f>IF(ISNUMBER(D87), $B91 * E87, "")</f>
        <v>-19021.739130434784</v>
      </c>
      <c r="G87" s="39">
        <v>238</v>
      </c>
      <c r="H87" s="73">
        <f t="shared" ref="H87:H90" si="43">IF(ISNUMBER(G87), (G87 - $B87) / $B87, "")</f>
        <v>-0.13768115942028986</v>
      </c>
      <c r="I87" s="202">
        <f>IF(ISNUMBER(G87), $B91 * H87, "")</f>
        <v>-20652.17391304348</v>
      </c>
      <c r="J87" s="125">
        <v>242</v>
      </c>
      <c r="K87" s="73">
        <f t="shared" ref="K87:K90" si="44">IF(ISNUMBER(J87), (J87 - $B87) / $B87, "")</f>
        <v>-0.12318840579710146</v>
      </c>
      <c r="L87" s="136">
        <f>IF(ISNUMBER(J87), $B91 * K87, "")</f>
        <v>-18478.26086956522</v>
      </c>
      <c r="M87" s="39">
        <v>245</v>
      </c>
      <c r="N87" s="73">
        <f t="shared" ref="N87:N90" si="45">IF(ISNUMBER(M87), (M87 - $B87) / $B87, "")</f>
        <v>-0.11231884057971014</v>
      </c>
      <c r="O87" s="136">
        <f>IF(ISNUMBER(M87), $B91 * N87, "")</f>
        <v>-16847.82608695652</v>
      </c>
      <c r="Q87" s="275"/>
      <c r="R87" s="275"/>
      <c r="S87" s="275"/>
    </row>
    <row r="88" spans="1:19" ht="17.25" thickBot="1">
      <c r="A88" s="124" t="s">
        <v>210</v>
      </c>
      <c r="B88" s="125">
        <v>181</v>
      </c>
      <c r="C88" s="73">
        <v>-1.09289617E-2</v>
      </c>
      <c r="D88" s="125">
        <v>170</v>
      </c>
      <c r="E88" s="73">
        <f t="shared" si="42"/>
        <v>-6.0773480662983423E-2</v>
      </c>
      <c r="F88" s="136">
        <f>IF(ISNUMBER(D88), $B91 * E88, "")</f>
        <v>-9116.022099447513</v>
      </c>
      <c r="G88" s="39">
        <v>162</v>
      </c>
      <c r="H88" s="73">
        <f t="shared" si="43"/>
        <v>-0.10497237569060773</v>
      </c>
      <c r="I88" s="202">
        <f>IF(ISNUMBER(G88), $B91 * H88, "")</f>
        <v>-15745.85635359116</v>
      </c>
      <c r="J88" s="125">
        <v>164</v>
      </c>
      <c r="K88" s="73">
        <f t="shared" si="44"/>
        <v>-9.3922651933701654E-2</v>
      </c>
      <c r="L88" s="136">
        <f>IF(ISNUMBER(J88), $B91 * K88, "")</f>
        <v>-14088.397790055247</v>
      </c>
      <c r="M88" s="39">
        <v>164</v>
      </c>
      <c r="N88" s="73">
        <f t="shared" si="45"/>
        <v>-9.3922651933701654E-2</v>
      </c>
      <c r="O88" s="136">
        <f>IF(ISNUMBER(M88), $B91 * N88, "")</f>
        <v>-14088.397790055247</v>
      </c>
      <c r="Q88" s="275"/>
      <c r="R88" s="275"/>
      <c r="S88" s="275"/>
    </row>
    <row r="89" spans="1:19">
      <c r="A89" s="124" t="s">
        <v>212</v>
      </c>
      <c r="B89" s="125">
        <v>140</v>
      </c>
      <c r="C89" s="73">
        <v>-1.4084507E-2</v>
      </c>
      <c r="D89" s="125">
        <v>128</v>
      </c>
      <c r="E89" s="73">
        <f t="shared" si="42"/>
        <v>-8.5714285714285715E-2</v>
      </c>
      <c r="F89" s="136">
        <f>IF(ISNUMBER(D89), $B91 * E89, "")</f>
        <v>-12857.142857142857</v>
      </c>
      <c r="G89" s="39">
        <v>122</v>
      </c>
      <c r="H89" s="73">
        <f t="shared" si="43"/>
        <v>-0.12857142857142856</v>
      </c>
      <c r="I89" s="202">
        <f>IF(ISNUMBER(G89), $B91 * H89, "")</f>
        <v>-19285.714285714283</v>
      </c>
      <c r="J89" s="125">
        <v>122</v>
      </c>
      <c r="K89" s="73">
        <f t="shared" si="44"/>
        <v>-0.12857142857142856</v>
      </c>
      <c r="L89" s="136">
        <f>IF(ISNUMBER(J89), $B91 * K89, "")</f>
        <v>-19285.714285714283</v>
      </c>
      <c r="M89" s="39">
        <v>123</v>
      </c>
      <c r="N89" s="73">
        <f t="shared" si="45"/>
        <v>-0.12142857142857143</v>
      </c>
      <c r="O89" s="136">
        <f>IF(ISNUMBER(M89), $B91 * N89, "")</f>
        <v>-18214.285714285714</v>
      </c>
      <c r="Q89" s="297"/>
      <c r="R89" s="298"/>
      <c r="S89" s="299"/>
    </row>
    <row r="90" spans="1:19" ht="17.25" thickBot="1">
      <c r="A90" s="129" t="s">
        <v>226</v>
      </c>
      <c r="B90" s="130">
        <v>484</v>
      </c>
      <c r="C90" s="75">
        <v>-1.4256619099999999E-2</v>
      </c>
      <c r="D90" s="130">
        <v>426</v>
      </c>
      <c r="E90" s="75">
        <f t="shared" si="42"/>
        <v>-0.11983471074380166</v>
      </c>
      <c r="F90" s="137">
        <f>IF(ISNUMBER(D90), $B91 * E90, "")</f>
        <v>-17975.206611570247</v>
      </c>
      <c r="G90" s="37">
        <v>412</v>
      </c>
      <c r="H90" s="75">
        <f t="shared" si="43"/>
        <v>-0.1487603305785124</v>
      </c>
      <c r="I90" s="207">
        <f>IF(ISNUMBER(G90), $B91 * H90, "")</f>
        <v>-22314.049586776859</v>
      </c>
      <c r="J90" s="130">
        <v>424</v>
      </c>
      <c r="K90" s="75">
        <f t="shared" si="44"/>
        <v>-0.12396694214876033</v>
      </c>
      <c r="L90" s="137">
        <f>IF(ISNUMBER(J90), $B91 * K90, "")</f>
        <v>-18595.041322314049</v>
      </c>
      <c r="M90" s="37">
        <v>422</v>
      </c>
      <c r="N90" s="75">
        <f t="shared" si="45"/>
        <v>-0.128099173553719</v>
      </c>
      <c r="O90" s="137">
        <f>IF(ISNUMBER(M90), $B91 * N90, "")</f>
        <v>-19214.876033057848</v>
      </c>
      <c r="Q90" s="300"/>
      <c r="R90" s="301"/>
      <c r="S90" s="302"/>
    </row>
    <row r="91" spans="1:19" ht="17.25" thickBot="1">
      <c r="A91" s="131" t="s">
        <v>301</v>
      </c>
      <c r="B91" s="308">
        <f>$B$37</f>
        <v>150000</v>
      </c>
      <c r="C91" s="309"/>
      <c r="D91" s="131" t="s">
        <v>302</v>
      </c>
      <c r="E91" s="223">
        <f>IF(COUNT(E71:E90), SUM(E71:E90) / COUNT(E71:E90), 0)</f>
        <v>-9.0769461997744327E-2</v>
      </c>
      <c r="F91" s="208">
        <f>SUM(F71:F90)</f>
        <v>-272308.38599323301</v>
      </c>
      <c r="G91" s="131" t="s">
        <v>302</v>
      </c>
      <c r="H91" s="223">
        <f>IF(COUNT(H71:H90), SUM(H71:H90) / COUNT(H71:H90), 0)</f>
        <v>-0.12673481258858987</v>
      </c>
      <c r="I91" s="208">
        <f>SUM(I71:I90)</f>
        <v>-380204.4377657696</v>
      </c>
      <c r="J91" s="131" t="s">
        <v>302</v>
      </c>
      <c r="K91" s="223">
        <f>IF(COUNT(K71:K90), SUM(K71:K90) / COUNT(K71:K90), 0)</f>
        <v>-0.11258660750396399</v>
      </c>
      <c r="L91" s="208">
        <f>SUM(L71:L90)</f>
        <v>-337759.82251189195</v>
      </c>
      <c r="M91" s="131" t="s">
        <v>302</v>
      </c>
      <c r="N91" s="223">
        <f>IF(COUNT(N71:N90), SUM(N71:N90) / COUNT(N71:N90), 0)</f>
        <v>-0.11577074356168315</v>
      </c>
      <c r="O91" s="208">
        <f>SUM(O71:O90)</f>
        <v>-347312.23068504955</v>
      </c>
      <c r="Q91" s="303"/>
      <c r="R91" s="304"/>
      <c r="S91" s="305"/>
    </row>
    <row r="93" spans="1:19" ht="17.25" thickBot="1"/>
    <row r="94" spans="1:19" ht="17.25" thickBot="1">
      <c r="A94" s="249" t="s">
        <v>46</v>
      </c>
      <c r="B94" s="250"/>
      <c r="C94" s="250"/>
      <c r="D94" s="250"/>
      <c r="E94" s="250"/>
      <c r="F94" s="250"/>
      <c r="G94" s="250"/>
      <c r="H94" s="250"/>
      <c r="I94" s="250"/>
      <c r="J94" s="250"/>
      <c r="K94" s="250"/>
      <c r="L94" s="250"/>
      <c r="M94" s="250"/>
      <c r="N94" s="250"/>
      <c r="O94" s="251"/>
      <c r="Q94" s="270"/>
      <c r="R94" s="270"/>
      <c r="S94" s="270"/>
    </row>
    <row r="95" spans="1:19" ht="17.25" thickBot="1">
      <c r="A95" s="217" t="s">
        <v>298</v>
      </c>
      <c r="B95" s="249" t="s">
        <v>49</v>
      </c>
      <c r="C95" s="251"/>
      <c r="D95" s="249" t="s">
        <v>58</v>
      </c>
      <c r="E95" s="250"/>
      <c r="F95" s="251"/>
      <c r="G95" s="276">
        <f>_xlfn.IFNA(VLOOKUP(B95, 현재가테이블!$B$2:$D$200, 2, FALSE), "-")</f>
        <v>60874000</v>
      </c>
      <c r="H95" s="277"/>
      <c r="I95" s="278"/>
      <c r="J95" s="249" t="s">
        <v>59</v>
      </c>
      <c r="K95" s="250"/>
      <c r="L95" s="251"/>
      <c r="M95" s="279">
        <f>_xlfn.IFNA(VLOOKUP(B95, 현재가테이블!$B$2:$D$200, 3, FALSE), "-")</f>
        <v>-1.4936000099999999E-2</v>
      </c>
      <c r="N95" s="280"/>
      <c r="O95" s="281"/>
      <c r="Q95" s="270"/>
      <c r="R95" s="270"/>
      <c r="S95" s="270"/>
    </row>
    <row r="96" spans="1:19" ht="17.25" thickBot="1">
      <c r="A96" s="310" t="s">
        <v>55</v>
      </c>
      <c r="B96" s="312" t="str">
        <f>TEXT($G$1, "[$-ko-KR]yyyy-mm-dd(ddd) ") &amp; "오전 00:00"</f>
        <v>2021-05-13(목) 오전 00:00</v>
      </c>
      <c r="C96" s="313"/>
      <c r="D96" s="249" t="str">
        <f>TEXT($G$1, "[$-ko-KR]yyyy-mm-dd(ddd) ") &amp; "오후 14:00"</f>
        <v>2021-05-13(목) 오후 14:00</v>
      </c>
      <c r="E96" s="250"/>
      <c r="F96" s="251"/>
      <c r="G96" s="249" t="str">
        <f>TEXT($G$1, "[$-ko-KR]yyyy-mm-dd(ddd) ") &amp; "오후 19:00"</f>
        <v>2021-05-13(목) 오후 19:00</v>
      </c>
      <c r="H96" s="250"/>
      <c r="I96" s="251"/>
      <c r="J96" s="249" t="str">
        <f>TEXT($G$1, "[$-ko-KR]yyyy-mm-dd(ddd) ") &amp; "오후 21:00"</f>
        <v>2021-05-13(목) 오후 21:00</v>
      </c>
      <c r="K96" s="250"/>
      <c r="L96" s="251"/>
      <c r="M96" s="249" t="str">
        <f>TEXT($G$1+1, "[$-ko-KR]yyyy-mm-dd(ddd) ") &amp; "오전 00:00"</f>
        <v>2021-05-14(금) 오전 00:00</v>
      </c>
      <c r="N96" s="250"/>
      <c r="O96" s="251"/>
      <c r="Q96" s="270"/>
      <c r="R96" s="270"/>
      <c r="S96" s="270"/>
    </row>
    <row r="97" spans="1:19" ht="17.25" thickBot="1">
      <c r="A97" s="311"/>
      <c r="B97" s="120" t="s">
        <v>58</v>
      </c>
      <c r="C97" s="121" t="s">
        <v>59</v>
      </c>
      <c r="D97" s="120" t="s">
        <v>58</v>
      </c>
      <c r="E97" s="121" t="s">
        <v>299</v>
      </c>
      <c r="F97" s="224" t="s">
        <v>300</v>
      </c>
      <c r="G97" s="217" t="s">
        <v>58</v>
      </c>
      <c r="H97" s="218" t="s">
        <v>299</v>
      </c>
      <c r="I97" s="219" t="s">
        <v>300</v>
      </c>
      <c r="J97" s="121" t="s">
        <v>58</v>
      </c>
      <c r="K97" s="121" t="s">
        <v>299</v>
      </c>
      <c r="L97" s="221" t="s">
        <v>300</v>
      </c>
      <c r="M97" s="120" t="s">
        <v>58</v>
      </c>
      <c r="N97" s="121" t="s">
        <v>299</v>
      </c>
      <c r="O97" s="222" t="s">
        <v>300</v>
      </c>
      <c r="Q97" s="275"/>
      <c r="R97" s="275"/>
      <c r="S97" s="275"/>
    </row>
    <row r="98" spans="1:19" ht="17.25" thickBot="1">
      <c r="A98" s="122" t="s">
        <v>208</v>
      </c>
      <c r="B98" s="123">
        <v>555</v>
      </c>
      <c r="C98" s="72">
        <v>0.19098712449999999</v>
      </c>
      <c r="D98" s="123">
        <v>481</v>
      </c>
      <c r="E98" s="72">
        <f>IF(ISNUMBER(D98), (D98 - $B98) / $B98, "")</f>
        <v>-0.13333333333333333</v>
      </c>
      <c r="F98" s="140">
        <f>IF(ISNUMBER(D98), $B118 * E98, "")</f>
        <v>-20000</v>
      </c>
      <c r="G98" s="38">
        <v>446</v>
      </c>
      <c r="H98" s="72">
        <f>IF(ISNUMBER(G98), (G98 - $B98) / $B98, "")</f>
        <v>-0.19639639639639639</v>
      </c>
      <c r="I98" s="201">
        <f>IF(ISNUMBER(G98), $B118 * H98, "")</f>
        <v>-29459.45945945946</v>
      </c>
      <c r="J98" s="123">
        <v>453</v>
      </c>
      <c r="K98" s="72">
        <f>IF(ISNUMBER(J98), (J98 - $B98) / $B98, "")</f>
        <v>-0.18378378378378379</v>
      </c>
      <c r="L98" s="140">
        <f>IF(ISNUMBER(J98), $B118 * K98, "")</f>
        <v>-27567.56756756757</v>
      </c>
      <c r="M98" s="38">
        <v>448</v>
      </c>
      <c r="N98" s="72">
        <f>IF(ISNUMBER(M98), (M98 - $B98) / $B98, "")</f>
        <v>-0.19279279279279279</v>
      </c>
      <c r="O98" s="140">
        <f>IF(ISNUMBER(M98), $B118 * N98, "")</f>
        <v>-28918.91891891892</v>
      </c>
      <c r="Q98" s="270"/>
      <c r="R98" s="270"/>
      <c r="S98" s="270"/>
    </row>
    <row r="99" spans="1:19" ht="17.25" thickBot="1">
      <c r="A99" s="124" t="s">
        <v>190</v>
      </c>
      <c r="B99" s="125">
        <v>72100</v>
      </c>
      <c r="C99" s="73">
        <v>9.6577946799999995E-2</v>
      </c>
      <c r="D99" s="125">
        <v>64000</v>
      </c>
      <c r="E99" s="73">
        <f t="shared" ref="E99:E102" si="46">IF(ISNUMBER(D99), (D99 - $B99) / $B99, "")</f>
        <v>-0.11234396671289876</v>
      </c>
      <c r="F99" s="136">
        <f>IF(ISNUMBER(D99), $B118 * E99, "")</f>
        <v>-16851.595006934815</v>
      </c>
      <c r="G99" s="39">
        <v>60930</v>
      </c>
      <c r="H99" s="73">
        <f t="shared" ref="H99:H102" si="47">IF(ISNUMBER(G99), (G99 - $B99) / $B99, "")</f>
        <v>-0.15492371705963939</v>
      </c>
      <c r="I99" s="202">
        <f>IF(ISNUMBER(G99), $B118 * H99, "")</f>
        <v>-23238.557558945908</v>
      </c>
      <c r="J99" s="125">
        <v>62090</v>
      </c>
      <c r="K99" s="73">
        <f t="shared" ref="K99:K102" si="48">IF(ISNUMBER(J99), (J99 - $B99) / $B99, "")</f>
        <v>-0.13883495145631067</v>
      </c>
      <c r="L99" s="136">
        <f>IF(ISNUMBER(J99), $B118 * K99, "")</f>
        <v>-20825.2427184466</v>
      </c>
      <c r="M99" s="39">
        <v>63610</v>
      </c>
      <c r="N99" s="73">
        <f t="shared" ref="N99:N102" si="49">IF(ISNUMBER(M99), (M99 - $B99) / $B99, "")</f>
        <v>-0.11775312066574202</v>
      </c>
      <c r="O99" s="136">
        <f>IF(ISNUMBER(M99), $B118 * N99, "")</f>
        <v>-17662.968099861304</v>
      </c>
      <c r="Q99" s="270"/>
      <c r="R99" s="270"/>
      <c r="S99" s="270"/>
    </row>
    <row r="100" spans="1:19" ht="17.25" thickBot="1">
      <c r="A100" s="124" t="s">
        <v>198</v>
      </c>
      <c r="B100" s="125">
        <v>28</v>
      </c>
      <c r="C100" s="73">
        <v>6.4638783300000002E-2</v>
      </c>
      <c r="D100" s="125">
        <v>24.4</v>
      </c>
      <c r="E100" s="73">
        <f t="shared" si="46"/>
        <v>-0.12857142857142861</v>
      </c>
      <c r="F100" s="136">
        <f>IF(ISNUMBER(D100), $B118 * E100, "")</f>
        <v>-19285.714285714294</v>
      </c>
      <c r="G100" s="39">
        <v>23.6</v>
      </c>
      <c r="H100" s="73">
        <f t="shared" si="47"/>
        <v>-0.15714285714285708</v>
      </c>
      <c r="I100" s="202">
        <f>IF(ISNUMBER(G100), $B118 * H100, "")</f>
        <v>-23571.428571428562</v>
      </c>
      <c r="J100" s="125">
        <v>23.8</v>
      </c>
      <c r="K100" s="73">
        <f t="shared" si="48"/>
        <v>-0.14999999999999997</v>
      </c>
      <c r="L100" s="136">
        <f>IF(ISNUMBER(J100), $B118 * K100, "")</f>
        <v>-22499.999999999996</v>
      </c>
      <c r="M100" s="39">
        <v>23.8</v>
      </c>
      <c r="N100" s="73">
        <f t="shared" si="49"/>
        <v>-0.14999999999999997</v>
      </c>
      <c r="O100" s="136">
        <f>IF(ISNUMBER(M100), $B118 * N100, "")</f>
        <v>-22499.999999999996</v>
      </c>
      <c r="Q100" s="275"/>
      <c r="R100" s="275"/>
      <c r="S100" s="275"/>
    </row>
    <row r="101" spans="1:19" ht="17.25" thickBot="1">
      <c r="A101" s="124" t="s">
        <v>138</v>
      </c>
      <c r="B101" s="125">
        <v>49780</v>
      </c>
      <c r="C101" s="73">
        <v>4.8883270100000001E-2</v>
      </c>
      <c r="D101" s="125">
        <v>49960</v>
      </c>
      <c r="E101" s="73">
        <f t="shared" si="46"/>
        <v>3.6159100040176776E-3</v>
      </c>
      <c r="F101" s="136">
        <f>IF(ISNUMBER(D101), $B118 * E101, "")</f>
        <v>542.38650060265161</v>
      </c>
      <c r="G101" s="39">
        <v>50280</v>
      </c>
      <c r="H101" s="73">
        <f t="shared" si="47"/>
        <v>1.0044194455604661E-2</v>
      </c>
      <c r="I101" s="202">
        <f>IF(ISNUMBER(G101), $B118 * H101, "")</f>
        <v>1506.6291683406992</v>
      </c>
      <c r="J101" s="125">
        <v>50210</v>
      </c>
      <c r="K101" s="73">
        <f t="shared" si="48"/>
        <v>8.6380072318200073E-3</v>
      </c>
      <c r="L101" s="136">
        <f>IF(ISNUMBER(J101), $B118 * K101, "")</f>
        <v>1295.7010847730012</v>
      </c>
      <c r="M101" s="39">
        <v>50000</v>
      </c>
      <c r="N101" s="73">
        <f t="shared" si="49"/>
        <v>4.4194455604660505E-3</v>
      </c>
      <c r="O101" s="136">
        <f>IF(ISNUMBER(M101), $B118 * N101, "")</f>
        <v>662.91683406990762</v>
      </c>
      <c r="Q101" s="275"/>
      <c r="R101" s="275"/>
      <c r="S101" s="275"/>
    </row>
    <row r="102" spans="1:19" ht="17.25" thickBot="1">
      <c r="A102" s="126" t="s">
        <v>172</v>
      </c>
      <c r="B102" s="127">
        <v>24.3</v>
      </c>
      <c r="C102" s="74">
        <v>3.8461538500000003E-2</v>
      </c>
      <c r="D102" s="127">
        <v>24.5</v>
      </c>
      <c r="E102" s="74">
        <f t="shared" si="46"/>
        <v>8.2304526748970906E-3</v>
      </c>
      <c r="F102" s="203">
        <f>IF(ISNUMBER(D102), $B118 * E102, "")</f>
        <v>1234.5679012345636</v>
      </c>
      <c r="G102" s="44">
        <v>23</v>
      </c>
      <c r="H102" s="74">
        <f t="shared" si="47"/>
        <v>-5.3497942386831303E-2</v>
      </c>
      <c r="I102" s="204">
        <f>IF(ISNUMBER(G102), $B118 * H102, "")</f>
        <v>-8024.6913580246955</v>
      </c>
      <c r="J102" s="127">
        <v>23.7</v>
      </c>
      <c r="K102" s="74">
        <f t="shared" si="48"/>
        <v>-2.4691358024691416E-2</v>
      </c>
      <c r="L102" s="203">
        <f>IF(ISNUMBER(J102), $B118 * K102, "")</f>
        <v>-3703.7037037037126</v>
      </c>
      <c r="M102" s="44">
        <v>23.8</v>
      </c>
      <c r="N102" s="74">
        <f t="shared" si="49"/>
        <v>-2.0576131687242798E-2</v>
      </c>
      <c r="O102" s="203">
        <f>IF(ISNUMBER(M102), $B118 * N102, "")</f>
        <v>-3086.4197530864199</v>
      </c>
      <c r="Q102" s="275"/>
      <c r="R102" s="275"/>
      <c r="S102" s="275"/>
    </row>
    <row r="103" spans="1:19" ht="17.25" thickBot="1">
      <c r="A103" s="124" t="s">
        <v>164</v>
      </c>
      <c r="B103" s="128">
        <v>42260</v>
      </c>
      <c r="C103" s="76">
        <v>3.6546480300000003E-2</v>
      </c>
      <c r="D103" s="128">
        <v>41430</v>
      </c>
      <c r="E103" s="76">
        <f>IF(ISNUMBER(D103), (D103 - $B103) / $B103, "")</f>
        <v>-1.9640321817321345E-2</v>
      </c>
      <c r="F103" s="205">
        <f>IF(ISNUMBER(D103), $B118 * E103, "")</f>
        <v>-2946.0482725982019</v>
      </c>
      <c r="G103" s="45">
        <v>39700</v>
      </c>
      <c r="H103" s="76">
        <f>IF(ISNUMBER(G103), (G103 - $B103) / $B103, "")</f>
        <v>-6.0577378135352578E-2</v>
      </c>
      <c r="I103" s="206">
        <f>IF(ISNUMBER(G103), $B118 * H103, "")</f>
        <v>-9086.606720302887</v>
      </c>
      <c r="J103" s="128">
        <v>40340</v>
      </c>
      <c r="K103" s="76">
        <f>IF(ISNUMBER(J103), (J103 - $B103) / $B103, "")</f>
        <v>-4.5433033601514433E-2</v>
      </c>
      <c r="L103" s="205">
        <f>IF(ISNUMBER(J103), $B118 * K103, "")</f>
        <v>-6814.9550402271652</v>
      </c>
      <c r="M103" s="45">
        <v>39660</v>
      </c>
      <c r="N103" s="76">
        <f>IF(ISNUMBER(M103), (M103 - $B103) / $B103, "")</f>
        <v>-6.1523899668717463E-2</v>
      </c>
      <c r="O103" s="205">
        <f>IF(ISNUMBER(M103), $B118 * N103, "")</f>
        <v>-9228.5849503076188</v>
      </c>
      <c r="Q103" s="275"/>
      <c r="R103" s="275"/>
      <c r="S103" s="275"/>
    </row>
    <row r="104" spans="1:19" ht="17.25" thickBot="1">
      <c r="A104" s="124" t="s">
        <v>106</v>
      </c>
      <c r="B104" s="125">
        <v>2350</v>
      </c>
      <c r="C104" s="73">
        <v>3.07017544E-2</v>
      </c>
      <c r="D104" s="125">
        <v>2125</v>
      </c>
      <c r="E104" s="73">
        <f t="shared" ref="E104:E107" si="50">IF(ISNUMBER(D104), (D104 - $B104) / $B104, "")</f>
        <v>-9.5744680851063829E-2</v>
      </c>
      <c r="F104" s="136">
        <f>IF(ISNUMBER(D104), $B118 * E104, "")</f>
        <v>-14361.702127659575</v>
      </c>
      <c r="G104" s="39">
        <v>2070</v>
      </c>
      <c r="H104" s="73">
        <f t="shared" ref="H104:H107" si="51">IF(ISNUMBER(G104), (G104 - $B104) / $B104, "")</f>
        <v>-0.11914893617021277</v>
      </c>
      <c r="I104" s="202">
        <f>IF(ISNUMBER(G104), $B118 * H104, "")</f>
        <v>-17872.340425531915</v>
      </c>
      <c r="J104" s="125">
        <v>2115</v>
      </c>
      <c r="K104" s="73">
        <f t="shared" ref="K104:K107" si="52">IF(ISNUMBER(J104), (J104 - $B104) / $B104, "")</f>
        <v>-0.1</v>
      </c>
      <c r="L104" s="136">
        <f>IF(ISNUMBER(J104), $B118 * K104, "")</f>
        <v>-15000</v>
      </c>
      <c r="M104" s="39">
        <v>2115</v>
      </c>
      <c r="N104" s="73">
        <f t="shared" ref="N104:N107" si="53">IF(ISNUMBER(M104), (M104 - $B104) / $B104, "")</f>
        <v>-0.1</v>
      </c>
      <c r="O104" s="136">
        <f>IF(ISNUMBER(M104), $B118 * N104, "")</f>
        <v>-15000</v>
      </c>
      <c r="Q104" s="275"/>
      <c r="R104" s="275"/>
      <c r="S104" s="275"/>
    </row>
    <row r="105" spans="1:19" ht="17.25" thickBot="1">
      <c r="A105" s="124" t="s">
        <v>224</v>
      </c>
      <c r="B105" s="125">
        <v>2115</v>
      </c>
      <c r="C105" s="73">
        <v>2.4213075099999998E-2</v>
      </c>
      <c r="D105" s="125">
        <v>1890</v>
      </c>
      <c r="E105" s="73">
        <f t="shared" si="50"/>
        <v>-0.10638297872340426</v>
      </c>
      <c r="F105" s="136">
        <f>IF(ISNUMBER(D105), $B118 * E105, "")</f>
        <v>-15957.446808510638</v>
      </c>
      <c r="G105" s="39">
        <v>1825</v>
      </c>
      <c r="H105" s="73">
        <f t="shared" si="51"/>
        <v>-0.13711583924349882</v>
      </c>
      <c r="I105" s="202">
        <f>IF(ISNUMBER(G105), $B118 * H105, "")</f>
        <v>-20567.375886524824</v>
      </c>
      <c r="J105" s="125">
        <v>1875</v>
      </c>
      <c r="K105" s="73">
        <f t="shared" si="52"/>
        <v>-0.11347517730496454</v>
      </c>
      <c r="L105" s="136">
        <f>IF(ISNUMBER(J105), $B118 * K105, "")</f>
        <v>-17021.276595744679</v>
      </c>
      <c r="M105" s="39">
        <v>1835</v>
      </c>
      <c r="N105" s="73">
        <f t="shared" si="53"/>
        <v>-0.13238770685579196</v>
      </c>
      <c r="O105" s="136">
        <f>IF(ISNUMBER(M105), $B118 * N105, "")</f>
        <v>-19858.156028368794</v>
      </c>
      <c r="Q105" s="275"/>
      <c r="R105" s="275"/>
      <c r="S105" s="275"/>
    </row>
    <row r="106" spans="1:19" ht="17.25" thickBot="1">
      <c r="A106" s="124" t="s">
        <v>96</v>
      </c>
      <c r="B106" s="125">
        <v>5230000</v>
      </c>
      <c r="C106" s="73">
        <v>2.18835483E-2</v>
      </c>
      <c r="D106" s="125">
        <v>4916000</v>
      </c>
      <c r="E106" s="73">
        <f t="shared" si="50"/>
        <v>-6.0038240917782024E-2</v>
      </c>
      <c r="F106" s="136">
        <f>IF(ISNUMBER(D106), $B118 * E106, "")</f>
        <v>-9005.7361376673034</v>
      </c>
      <c r="G106" s="39">
        <v>4771000</v>
      </c>
      <c r="H106" s="73">
        <f t="shared" si="51"/>
        <v>-8.7762906309751434E-2</v>
      </c>
      <c r="I106" s="202">
        <f>IF(ISNUMBER(G106), $B118 * H106, "")</f>
        <v>-13164.435946462716</v>
      </c>
      <c r="J106" s="125">
        <v>4840000</v>
      </c>
      <c r="K106" s="73">
        <f t="shared" si="52"/>
        <v>-7.4569789674952203E-2</v>
      </c>
      <c r="L106" s="136">
        <f>IF(ISNUMBER(J106), $B118 * K106, "")</f>
        <v>-11185.46845124283</v>
      </c>
      <c r="M106" s="39">
        <v>4781000</v>
      </c>
      <c r="N106" s="73">
        <f t="shared" si="53"/>
        <v>-8.5850860420650099E-2</v>
      </c>
      <c r="O106" s="136">
        <f>IF(ISNUMBER(M106), $B118 * N106, "")</f>
        <v>-12877.629063097515</v>
      </c>
      <c r="Q106" s="33"/>
      <c r="R106" s="33"/>
    </row>
    <row r="107" spans="1:19" ht="17.25" thickBot="1">
      <c r="A107" s="129" t="s">
        <v>158</v>
      </c>
      <c r="B107" s="130">
        <v>10100</v>
      </c>
      <c r="C107" s="75">
        <v>1.96870268E-2</v>
      </c>
      <c r="D107" s="130">
        <v>9130</v>
      </c>
      <c r="E107" s="75">
        <f t="shared" si="50"/>
        <v>-9.6039603960396042E-2</v>
      </c>
      <c r="F107" s="137">
        <f>IF(ISNUMBER(D107), $B118 * E107, "")</f>
        <v>-14405.940594059406</v>
      </c>
      <c r="G107" s="37">
        <v>8825</v>
      </c>
      <c r="H107" s="75">
        <f t="shared" si="51"/>
        <v>-0.12623762376237624</v>
      </c>
      <c r="I107" s="207">
        <f>IF(ISNUMBER(G107), $B118 * H107, "")</f>
        <v>-18935.643564356436</v>
      </c>
      <c r="J107" s="130">
        <v>9065</v>
      </c>
      <c r="K107" s="75">
        <f t="shared" si="52"/>
        <v>-0.10247524752475247</v>
      </c>
      <c r="L107" s="137">
        <f>IF(ISNUMBER(J107), $B118 * K107, "")</f>
        <v>-15371.287128712871</v>
      </c>
      <c r="M107" s="37">
        <v>8815</v>
      </c>
      <c r="N107" s="75">
        <f t="shared" si="53"/>
        <v>-0.12722772277227723</v>
      </c>
      <c r="O107" s="137">
        <f>IF(ISNUMBER(M107), $B118 * N107, "")</f>
        <v>-19084.158415841586</v>
      </c>
      <c r="Q107" s="284"/>
      <c r="R107" s="285"/>
      <c r="S107" s="286"/>
    </row>
    <row r="108" spans="1:19">
      <c r="A108" s="122" t="s">
        <v>134</v>
      </c>
      <c r="B108" s="123">
        <v>160</v>
      </c>
      <c r="C108" s="72">
        <v>1.9108280299999999E-2</v>
      </c>
      <c r="D108" s="123">
        <v>147</v>
      </c>
      <c r="E108" s="72">
        <f>IF(ISNUMBER(D108), (D108 - $B108) / $B108, "")</f>
        <v>-8.1250000000000003E-2</v>
      </c>
      <c r="F108" s="140">
        <f>IF(ISNUMBER(D108), $B118 * E108, "")</f>
        <v>-12187.5</v>
      </c>
      <c r="G108" s="38">
        <v>138</v>
      </c>
      <c r="H108" s="72">
        <f>IF(ISNUMBER(G108), (G108 - $B108) / $B108, "")</f>
        <v>-0.13750000000000001</v>
      </c>
      <c r="I108" s="201">
        <f>IF(ISNUMBER(G108), $B118 * H108, "")</f>
        <v>-20625</v>
      </c>
      <c r="J108" s="123">
        <v>142</v>
      </c>
      <c r="K108" s="72">
        <f>IF(ISNUMBER(J108), (J108 - $B108) / $B108, "")</f>
        <v>-0.1125</v>
      </c>
      <c r="L108" s="140">
        <f>IF(ISNUMBER(J108), $B118 * K108, "")</f>
        <v>-16875</v>
      </c>
      <c r="M108" s="38">
        <v>141</v>
      </c>
      <c r="N108" s="72">
        <f>IF(ISNUMBER(M108), (M108 - $B108) / $B108, "")</f>
        <v>-0.11874999999999999</v>
      </c>
      <c r="O108" s="140">
        <f>IF(ISNUMBER(M108), $B118 * N108, "")</f>
        <v>-17812.5</v>
      </c>
      <c r="Q108" s="287"/>
      <c r="R108" s="288"/>
      <c r="S108" s="289"/>
    </row>
    <row r="109" spans="1:19" ht="17.25" thickBot="1">
      <c r="A109" s="124" t="s">
        <v>256</v>
      </c>
      <c r="B109" s="125">
        <v>247</v>
      </c>
      <c r="C109" s="73">
        <v>1.6460905299999998E-2</v>
      </c>
      <c r="D109" s="125">
        <v>224</v>
      </c>
      <c r="E109" s="73">
        <f t="shared" ref="E109:E112" si="54">IF(ISNUMBER(D109), (D109 - $B109) / $B109, "")</f>
        <v>-9.3117408906882596E-2</v>
      </c>
      <c r="F109" s="136">
        <f>IF(ISNUMBER(D109), $B118 * E109, "")</f>
        <v>-13967.611336032389</v>
      </c>
      <c r="G109" s="39">
        <v>232</v>
      </c>
      <c r="H109" s="73">
        <f t="shared" ref="H109:H112" si="55">IF(ISNUMBER(G109), (G109 - $B109) / $B109, "")</f>
        <v>-6.0728744939271252E-2</v>
      </c>
      <c r="I109" s="202">
        <f>IF(ISNUMBER(G109), $B118 * H109, "")</f>
        <v>-9109.3117408906874</v>
      </c>
      <c r="J109" s="125">
        <v>232</v>
      </c>
      <c r="K109" s="73">
        <f t="shared" ref="K109:K112" si="56">IF(ISNUMBER(J109), (J109 - $B109) / $B109, "")</f>
        <v>-6.0728744939271252E-2</v>
      </c>
      <c r="L109" s="136">
        <f>IF(ISNUMBER(J109), $B118 * K109, "")</f>
        <v>-9109.3117408906874</v>
      </c>
      <c r="M109" s="39">
        <v>229</v>
      </c>
      <c r="N109" s="73">
        <f t="shared" ref="N109:N112" si="57">IF(ISNUMBER(M109), (M109 - $B109) / $B109, "")</f>
        <v>-7.28744939271255E-2</v>
      </c>
      <c r="O109" s="136">
        <f>IF(ISNUMBER(M109), $B118 * N109, "")</f>
        <v>-10931.174089068825</v>
      </c>
      <c r="Q109" s="290"/>
      <c r="R109" s="291"/>
      <c r="S109" s="292"/>
    </row>
    <row r="110" spans="1:19" ht="17.25" thickBot="1">
      <c r="A110" s="124" t="s">
        <v>120</v>
      </c>
      <c r="B110" s="125">
        <v>215</v>
      </c>
      <c r="C110" s="73">
        <v>1.4150943399999999E-2</v>
      </c>
      <c r="D110" s="125">
        <v>203</v>
      </c>
      <c r="E110" s="73">
        <f t="shared" si="54"/>
        <v>-5.5813953488372092E-2</v>
      </c>
      <c r="F110" s="136">
        <f>IF(ISNUMBER(D110), $B118 * E110, "")</f>
        <v>-8372.093023255813</v>
      </c>
      <c r="G110" s="39">
        <v>197</v>
      </c>
      <c r="H110" s="73">
        <f t="shared" si="55"/>
        <v>-8.3720930232558138E-2</v>
      </c>
      <c r="I110" s="202">
        <f>IF(ISNUMBER(G110), $B118 * H110, "")</f>
        <v>-12558.139534883721</v>
      </c>
      <c r="J110" s="125">
        <v>199</v>
      </c>
      <c r="K110" s="73">
        <f t="shared" si="56"/>
        <v>-7.441860465116279E-2</v>
      </c>
      <c r="L110" s="136">
        <f>IF(ISNUMBER(J110), $B118 * K110, "")</f>
        <v>-11162.790697674418</v>
      </c>
      <c r="M110" s="39">
        <v>199</v>
      </c>
      <c r="N110" s="73">
        <f t="shared" si="57"/>
        <v>-7.441860465116279E-2</v>
      </c>
      <c r="O110" s="136">
        <f>IF(ISNUMBER(M110), $B118 * N110, "")</f>
        <v>-11162.790697674418</v>
      </c>
      <c r="Q110" s="275"/>
      <c r="R110" s="275"/>
      <c r="S110" s="275"/>
    </row>
    <row r="111" spans="1:19" ht="17.25" thickBot="1">
      <c r="A111" s="124" t="s">
        <v>194</v>
      </c>
      <c r="B111" s="125">
        <v>13450</v>
      </c>
      <c r="C111" s="73">
        <v>1.2039127199999999E-2</v>
      </c>
      <c r="D111" s="125">
        <v>11980</v>
      </c>
      <c r="E111" s="73">
        <f t="shared" si="54"/>
        <v>-0.10929368029739776</v>
      </c>
      <c r="F111" s="136">
        <f>IF(ISNUMBER(D111), $B118 * E111, "")</f>
        <v>-16394.052044609663</v>
      </c>
      <c r="G111" s="39">
        <v>11860</v>
      </c>
      <c r="H111" s="73">
        <f t="shared" si="55"/>
        <v>-0.11821561338289963</v>
      </c>
      <c r="I111" s="202">
        <f>IF(ISNUMBER(G111), $B118 * H111, "")</f>
        <v>-17732.342007434945</v>
      </c>
      <c r="J111" s="125">
        <v>11840</v>
      </c>
      <c r="K111" s="73">
        <f t="shared" si="56"/>
        <v>-0.11970260223048328</v>
      </c>
      <c r="L111" s="136">
        <f>IF(ISNUMBER(J111), $B118 * K111, "")</f>
        <v>-17955.39033457249</v>
      </c>
      <c r="M111" s="39">
        <v>11990</v>
      </c>
      <c r="N111" s="73">
        <f t="shared" si="57"/>
        <v>-0.10855018587360594</v>
      </c>
      <c r="O111" s="136">
        <f>IF(ISNUMBER(M111), $B118 * N111, "")</f>
        <v>-16282.527881040891</v>
      </c>
      <c r="Q111" s="270"/>
      <c r="R111" s="270"/>
      <c r="S111" s="270"/>
    </row>
    <row r="112" spans="1:19" ht="17.25" thickBot="1">
      <c r="A112" s="126" t="s">
        <v>214</v>
      </c>
      <c r="B112" s="127">
        <v>22.4</v>
      </c>
      <c r="C112" s="74">
        <v>9.0090090000000001E-3</v>
      </c>
      <c r="D112" s="127">
        <v>20.100000000000001</v>
      </c>
      <c r="E112" s="74">
        <f t="shared" si="54"/>
        <v>-0.10267857142857131</v>
      </c>
      <c r="F112" s="203">
        <f>IF(ISNUMBER(D112), $B118 * E112, "")</f>
        <v>-15401.785714285697</v>
      </c>
      <c r="G112" s="44">
        <v>19.399999999999999</v>
      </c>
      <c r="H112" s="74">
        <f t="shared" si="55"/>
        <v>-0.13392857142857142</v>
      </c>
      <c r="I112" s="204">
        <f>IF(ISNUMBER(G112), $B118 * H112, "")</f>
        <v>-20089.285714285714</v>
      </c>
      <c r="J112" s="127">
        <v>19.5</v>
      </c>
      <c r="K112" s="74">
        <f t="shared" si="56"/>
        <v>-0.12946428571428567</v>
      </c>
      <c r="L112" s="203">
        <f>IF(ISNUMBER(J112), $B118 * K112, "")</f>
        <v>-19419.642857142851</v>
      </c>
      <c r="M112" s="44">
        <v>19.5</v>
      </c>
      <c r="N112" s="74">
        <f t="shared" si="57"/>
        <v>-0.12946428571428567</v>
      </c>
      <c r="O112" s="203">
        <f>IF(ISNUMBER(M112), $B118 * N112, "")</f>
        <v>-19419.642857142851</v>
      </c>
      <c r="Q112" s="270"/>
      <c r="R112" s="270"/>
      <c r="S112" s="270"/>
    </row>
    <row r="113" spans="1:19" ht="17.25" thickBot="1">
      <c r="A113" s="124" t="s">
        <v>264</v>
      </c>
      <c r="B113" s="128">
        <v>166</v>
      </c>
      <c r="C113" s="76">
        <v>6.0606061000000001E-3</v>
      </c>
      <c r="D113" s="128">
        <v>152</v>
      </c>
      <c r="E113" s="76">
        <f>IF(ISNUMBER(D113), (D113 - $B113) / $B113, "")</f>
        <v>-8.4337349397590355E-2</v>
      </c>
      <c r="F113" s="205">
        <f>IF(ISNUMBER(D113), $B118 * E113, "")</f>
        <v>-12650.602409638554</v>
      </c>
      <c r="G113" s="45">
        <v>144</v>
      </c>
      <c r="H113" s="76">
        <f>IF(ISNUMBER(G113), (G113 - $B113) / $B113, "")</f>
        <v>-0.13253012048192772</v>
      </c>
      <c r="I113" s="206">
        <f>IF(ISNUMBER(G113), $B118 * H113, "")</f>
        <v>-19879.518072289156</v>
      </c>
      <c r="J113" s="128">
        <v>148</v>
      </c>
      <c r="K113" s="76">
        <f>IF(ISNUMBER(J113), (J113 - $B113) / $B113, "")</f>
        <v>-0.10843373493975904</v>
      </c>
      <c r="L113" s="205">
        <f>IF(ISNUMBER(J113), $B118 * K113, "")</f>
        <v>-16265.060240963856</v>
      </c>
      <c r="M113" s="45">
        <v>147</v>
      </c>
      <c r="N113" s="76">
        <f>IF(ISNUMBER(M113), (M113 - $B113) / $B113, "")</f>
        <v>-0.1144578313253012</v>
      </c>
      <c r="O113" s="205">
        <f>IF(ISNUMBER(M113), $B118 * N113, "")</f>
        <v>-17168.674698795181</v>
      </c>
      <c r="Q113" s="275"/>
      <c r="R113" s="275"/>
      <c r="S113" s="275"/>
    </row>
    <row r="114" spans="1:19" ht="17.25" thickBot="1">
      <c r="A114" s="124" t="s">
        <v>230</v>
      </c>
      <c r="B114" s="125">
        <v>168</v>
      </c>
      <c r="C114" s="73">
        <v>5.9880239999999998E-3</v>
      </c>
      <c r="D114" s="125">
        <v>149</v>
      </c>
      <c r="E114" s="73">
        <f t="shared" ref="E114:E117" si="58">IF(ISNUMBER(D114), (D114 - $B114) / $B114, "")</f>
        <v>-0.1130952380952381</v>
      </c>
      <c r="F114" s="136">
        <f>IF(ISNUMBER(D114), $B118 * E114, "")</f>
        <v>-16964.285714285714</v>
      </c>
      <c r="G114" s="39">
        <v>142</v>
      </c>
      <c r="H114" s="73">
        <f t="shared" ref="H114:H117" si="59">IF(ISNUMBER(G114), (G114 - $B114) / $B114, "")</f>
        <v>-0.15476190476190477</v>
      </c>
      <c r="I114" s="202">
        <f>IF(ISNUMBER(G114), $B118 * H114, "")</f>
        <v>-23214.285714285714</v>
      </c>
      <c r="J114" s="125">
        <v>142</v>
      </c>
      <c r="K114" s="73">
        <f t="shared" ref="K114:K117" si="60">IF(ISNUMBER(J114), (J114 - $B114) / $B114, "")</f>
        <v>-0.15476190476190477</v>
      </c>
      <c r="L114" s="136">
        <f>IF(ISNUMBER(J114), $B118 * K114, "")</f>
        <v>-23214.285714285714</v>
      </c>
      <c r="M114" s="39">
        <v>145</v>
      </c>
      <c r="N114" s="73">
        <f t="shared" ref="N114:N117" si="61">IF(ISNUMBER(M114), (M114 - $B114) / $B114, "")</f>
        <v>-0.13690476190476192</v>
      </c>
      <c r="O114" s="136">
        <f>IF(ISNUMBER(M114), $B118 * N114, "")</f>
        <v>-20535.714285714286</v>
      </c>
      <c r="Q114" s="275"/>
      <c r="R114" s="275"/>
      <c r="S114" s="275"/>
    </row>
    <row r="115" spans="1:19" ht="17.25" thickBot="1">
      <c r="A115" s="124" t="s">
        <v>282</v>
      </c>
      <c r="B115" s="125">
        <v>169</v>
      </c>
      <c r="C115" s="73">
        <v>5.9523809999999996E-3</v>
      </c>
      <c r="D115" s="125">
        <v>159</v>
      </c>
      <c r="E115" s="73">
        <f t="shared" si="58"/>
        <v>-5.9171597633136092E-2</v>
      </c>
      <c r="F115" s="136">
        <f>IF(ISNUMBER(D115), $B118 * E115, "")</f>
        <v>-8875.7396449704138</v>
      </c>
      <c r="G115" s="39">
        <v>149</v>
      </c>
      <c r="H115" s="73">
        <f t="shared" si="59"/>
        <v>-0.11834319526627218</v>
      </c>
      <c r="I115" s="202">
        <f>IF(ISNUMBER(G115), $B118 * H115, "")</f>
        <v>-17751.479289940828</v>
      </c>
      <c r="J115" s="125">
        <v>152</v>
      </c>
      <c r="K115" s="73">
        <f t="shared" si="60"/>
        <v>-0.10059171597633136</v>
      </c>
      <c r="L115" s="136">
        <f>IF(ISNUMBER(J115), $B118 * K115, "")</f>
        <v>-15088.757396449704</v>
      </c>
      <c r="M115" s="39">
        <v>149</v>
      </c>
      <c r="N115" s="73">
        <f t="shared" si="61"/>
        <v>-0.11834319526627218</v>
      </c>
      <c r="O115" s="136">
        <f>IF(ISNUMBER(M115), $B118 * N115, "")</f>
        <v>-17751.479289940828</v>
      </c>
      <c r="Q115" s="275"/>
      <c r="R115" s="275"/>
      <c r="S115" s="275"/>
    </row>
    <row r="116" spans="1:19">
      <c r="A116" s="124" t="s">
        <v>240</v>
      </c>
      <c r="B116" s="125">
        <v>173</v>
      </c>
      <c r="C116" s="73">
        <v>5.8139534999999999E-3</v>
      </c>
      <c r="D116" s="125">
        <v>159</v>
      </c>
      <c r="E116" s="73">
        <f t="shared" si="58"/>
        <v>-8.0924855491329481E-2</v>
      </c>
      <c r="F116" s="136">
        <f>IF(ISNUMBER(D116), $B118 * E116, "")</f>
        <v>-12138.728323699423</v>
      </c>
      <c r="G116" s="39">
        <v>147</v>
      </c>
      <c r="H116" s="73">
        <f t="shared" si="59"/>
        <v>-0.15028901734104047</v>
      </c>
      <c r="I116" s="202">
        <f>IF(ISNUMBER(G116), $B118 * H116, "")</f>
        <v>-22543.352601156072</v>
      </c>
      <c r="J116" s="125">
        <v>148</v>
      </c>
      <c r="K116" s="73">
        <f t="shared" si="60"/>
        <v>-0.14450867052023122</v>
      </c>
      <c r="L116" s="136">
        <f>IF(ISNUMBER(J116), $B118 * K116, "")</f>
        <v>-21676.300578034683</v>
      </c>
      <c r="M116" s="39">
        <v>149</v>
      </c>
      <c r="N116" s="73">
        <f t="shared" si="61"/>
        <v>-0.13872832369942195</v>
      </c>
      <c r="O116" s="136">
        <f>IF(ISNUMBER(M116), $B118 * N116, "")</f>
        <v>-20809.248554913294</v>
      </c>
      <c r="Q116" s="297"/>
      <c r="R116" s="298"/>
      <c r="S116" s="299"/>
    </row>
    <row r="117" spans="1:19" ht="17.25" thickBot="1">
      <c r="A117" s="129" t="s">
        <v>246</v>
      </c>
      <c r="B117" s="130">
        <v>371</v>
      </c>
      <c r="C117" s="75">
        <v>5.4200541999999997E-3</v>
      </c>
      <c r="D117" s="130">
        <v>320</v>
      </c>
      <c r="E117" s="75">
        <f t="shared" si="58"/>
        <v>-0.13746630727762804</v>
      </c>
      <c r="F117" s="137">
        <f>IF(ISNUMBER(D117), $B118 * E117, "")</f>
        <v>-20619.946091644208</v>
      </c>
      <c r="G117" s="37">
        <v>311</v>
      </c>
      <c r="H117" s="75">
        <f t="shared" si="59"/>
        <v>-0.16172506738544473</v>
      </c>
      <c r="I117" s="207">
        <f>IF(ISNUMBER(G117), $B118 * H117, "")</f>
        <v>-24258.76010781671</v>
      </c>
      <c r="J117" s="130">
        <v>317</v>
      </c>
      <c r="K117" s="75">
        <f t="shared" si="60"/>
        <v>-0.14555256064690028</v>
      </c>
      <c r="L117" s="137">
        <f>IF(ISNUMBER(J117), $B118 * K117, "")</f>
        <v>-21832.884097035043</v>
      </c>
      <c r="M117" s="37">
        <v>317</v>
      </c>
      <c r="N117" s="75">
        <f t="shared" si="61"/>
        <v>-0.14555256064690028</v>
      </c>
      <c r="O117" s="137">
        <f>IF(ISNUMBER(M117), $B118 * N117, "")</f>
        <v>-21832.884097035043</v>
      </c>
      <c r="Q117" s="300"/>
      <c r="R117" s="301"/>
      <c r="S117" s="302"/>
    </row>
    <row r="118" spans="1:19" ht="17.25" thickBot="1">
      <c r="A118" s="131" t="s">
        <v>301</v>
      </c>
      <c r="B118" s="308">
        <f>$B$37</f>
        <v>150000</v>
      </c>
      <c r="C118" s="309"/>
      <c r="D118" s="131" t="s">
        <v>302</v>
      </c>
      <c r="E118" s="223">
        <f>IF(COUNT(E98:E117), SUM(E98:E117) / COUNT(E98:E117), 0)</f>
        <v>-8.2869857711242972E-2</v>
      </c>
      <c r="F118" s="208">
        <f>SUM(F98:F117)</f>
        <v>-248609.57313372887</v>
      </c>
      <c r="G118" s="131" t="s">
        <v>302</v>
      </c>
      <c r="H118" s="223">
        <f>IF(COUNT(H98:H117), SUM(H98:H117) / COUNT(H98:H117), 0)</f>
        <v>-0.11672512836856008</v>
      </c>
      <c r="I118" s="208">
        <f>SUM(I98:I117)</f>
        <v>-350175.38510568033</v>
      </c>
      <c r="J118" s="131" t="s">
        <v>302</v>
      </c>
      <c r="K118" s="223">
        <f>IF(COUNT(K98:K117), SUM(K98:K117) / COUNT(K98:K117), 0)</f>
        <v>-0.10376440792597394</v>
      </c>
      <c r="L118" s="208">
        <f>SUM(L98:L117)</f>
        <v>-311293.22377792187</v>
      </c>
      <c r="M118" s="131" t="s">
        <v>302</v>
      </c>
      <c r="N118" s="223">
        <f>IF(COUNT(N98:N117), SUM(N98:N117) / COUNT(N98:N117), 0)</f>
        <v>-0.10708685161557929</v>
      </c>
      <c r="O118" s="208">
        <f>SUM(O98:O117)</f>
        <v>-321260.55484673782</v>
      </c>
      <c r="Q118" s="303"/>
      <c r="R118" s="304"/>
      <c r="S118" s="305"/>
    </row>
    <row r="120" spans="1:19" ht="17.25" thickBot="1"/>
    <row r="121" spans="1:19" ht="17.25" thickBot="1">
      <c r="A121" s="249" t="s">
        <v>288</v>
      </c>
      <c r="B121" s="250"/>
      <c r="C121" s="250"/>
      <c r="D121" s="250"/>
      <c r="E121" s="250"/>
      <c r="F121" s="250"/>
      <c r="G121" s="250"/>
      <c r="H121" s="250"/>
      <c r="I121" s="250"/>
      <c r="J121" s="250"/>
      <c r="K121" s="250"/>
      <c r="L121" s="250"/>
      <c r="M121" s="250"/>
      <c r="N121" s="250"/>
      <c r="O121" s="251"/>
      <c r="Q121" s="270"/>
      <c r="R121" s="270"/>
      <c r="S121" s="270"/>
    </row>
    <row r="122" spans="1:19" ht="17.25" thickBot="1">
      <c r="A122" s="217" t="s">
        <v>298</v>
      </c>
      <c r="B122" s="249" t="s">
        <v>49</v>
      </c>
      <c r="C122" s="251"/>
      <c r="D122" s="249" t="s">
        <v>58</v>
      </c>
      <c r="E122" s="250"/>
      <c r="F122" s="251"/>
      <c r="G122" s="276">
        <f>_xlfn.IFNA(VLOOKUP(B122, 현재가테이블!$B$2:$D$200, 2, FALSE), "-")</f>
        <v>60874000</v>
      </c>
      <c r="H122" s="277"/>
      <c r="I122" s="278"/>
      <c r="J122" s="249" t="s">
        <v>59</v>
      </c>
      <c r="K122" s="250"/>
      <c r="L122" s="251"/>
      <c r="M122" s="279">
        <f>_xlfn.IFNA(VLOOKUP(B122, 현재가테이블!$B$2:$D$200, 3, FALSE), "-")</f>
        <v>-1.4936000099999999E-2</v>
      </c>
      <c r="N122" s="280"/>
      <c r="O122" s="281"/>
      <c r="Q122" s="270"/>
      <c r="R122" s="270"/>
      <c r="S122" s="270"/>
    </row>
    <row r="123" spans="1:19" ht="17.25" thickBot="1">
      <c r="A123" s="310" t="s">
        <v>55</v>
      </c>
      <c r="B123" s="312" t="str">
        <f>TEXT($G$1, "[$-ko-KR]yyyy-mm-dd(ddd) ") &amp; "오전 00:00"</f>
        <v>2021-05-13(목) 오전 00:00</v>
      </c>
      <c r="C123" s="313"/>
      <c r="D123" s="249" t="str">
        <f>TEXT($G$1, "[$-ko-KR]yyyy-mm-dd(ddd) ") &amp; "오후 14:00"</f>
        <v>2021-05-13(목) 오후 14:00</v>
      </c>
      <c r="E123" s="250"/>
      <c r="F123" s="251"/>
      <c r="G123" s="249" t="str">
        <f>TEXT($G$1, "[$-ko-KR]yyyy-mm-dd(ddd) ") &amp; "오후 19:00"</f>
        <v>2021-05-13(목) 오후 19:00</v>
      </c>
      <c r="H123" s="250"/>
      <c r="I123" s="251"/>
      <c r="J123" s="249" t="str">
        <f>TEXT($G$1, "[$-ko-KR]yyyy-mm-dd(ddd) ") &amp; "오후 21:00"</f>
        <v>2021-05-13(목) 오후 21:00</v>
      </c>
      <c r="K123" s="250"/>
      <c r="L123" s="251"/>
      <c r="M123" s="249" t="str">
        <f>TEXT($G$1+1, "[$-ko-KR]yyyy-mm-dd(ddd) ") &amp; "오전 00:00"</f>
        <v>2021-05-14(금) 오전 00:00</v>
      </c>
      <c r="N123" s="250"/>
      <c r="O123" s="251"/>
      <c r="Q123" s="270"/>
      <c r="R123" s="270"/>
      <c r="S123" s="270"/>
    </row>
    <row r="124" spans="1:19" ht="17.25" thickBot="1">
      <c r="A124" s="311"/>
      <c r="B124" s="120" t="s">
        <v>58</v>
      </c>
      <c r="C124" s="121" t="s">
        <v>59</v>
      </c>
      <c r="D124" s="120" t="s">
        <v>58</v>
      </c>
      <c r="E124" s="121" t="s">
        <v>299</v>
      </c>
      <c r="F124" s="224" t="s">
        <v>300</v>
      </c>
      <c r="G124" s="217" t="s">
        <v>58</v>
      </c>
      <c r="H124" s="218" t="s">
        <v>299</v>
      </c>
      <c r="I124" s="219" t="s">
        <v>300</v>
      </c>
      <c r="J124" s="121" t="s">
        <v>58</v>
      </c>
      <c r="K124" s="121" t="s">
        <v>299</v>
      </c>
      <c r="L124" s="221" t="s">
        <v>300</v>
      </c>
      <c r="M124" s="120" t="s">
        <v>58</v>
      </c>
      <c r="N124" s="121" t="s">
        <v>299</v>
      </c>
      <c r="O124" s="222" t="s">
        <v>300</v>
      </c>
      <c r="Q124" s="275"/>
      <c r="R124" s="275"/>
      <c r="S124" s="275"/>
    </row>
    <row r="125" spans="1:19" ht="17.25" thickBot="1">
      <c r="A125" s="122" t="s">
        <v>198</v>
      </c>
      <c r="B125" s="123">
        <v>28</v>
      </c>
      <c r="C125" s="72">
        <v>6.4638783300000002E-2</v>
      </c>
      <c r="D125" s="123">
        <v>24.4</v>
      </c>
      <c r="E125" s="72">
        <f>IF(ISNUMBER(D125), (D125 - $B125) / $B125, "")</f>
        <v>-0.12857142857142861</v>
      </c>
      <c r="F125" s="140">
        <f>IF(ISNUMBER(D125), $B145 * E125, "")</f>
        <v>-19285.714285714294</v>
      </c>
      <c r="G125" s="38">
        <v>23.6</v>
      </c>
      <c r="H125" s="72">
        <f>IF(ISNUMBER(G125), (G125 - $B125) / $B125, "")</f>
        <v>-0.15714285714285708</v>
      </c>
      <c r="I125" s="201">
        <f>IF(ISNUMBER(G125), $B145 * H125, "")</f>
        <v>-23571.428571428562</v>
      </c>
      <c r="J125" s="123">
        <v>23.8</v>
      </c>
      <c r="K125" s="72">
        <f>IF(ISNUMBER(J125), (J125 - $B125) / $B125, "")</f>
        <v>-0.14999999999999997</v>
      </c>
      <c r="L125" s="140">
        <f>IF(ISNUMBER(J125), $B145 * K125, "")</f>
        <v>-22499.999999999996</v>
      </c>
      <c r="M125" s="38">
        <v>23.8</v>
      </c>
      <c r="N125" s="72">
        <f>IF(ISNUMBER(M125), (M125 - $B125) / $B125, "")</f>
        <v>-0.14999999999999997</v>
      </c>
      <c r="O125" s="140">
        <f>IF(ISNUMBER(M125), $B145 * N125, "")</f>
        <v>-22499.999999999996</v>
      </c>
      <c r="Q125" s="270"/>
      <c r="R125" s="270"/>
      <c r="S125" s="270"/>
    </row>
    <row r="126" spans="1:19" ht="17.25" thickBot="1">
      <c r="A126" s="124" t="s">
        <v>172</v>
      </c>
      <c r="B126" s="125">
        <v>24.3</v>
      </c>
      <c r="C126" s="73">
        <v>3.8461538500000003E-2</v>
      </c>
      <c r="D126" s="125">
        <v>24.5</v>
      </c>
      <c r="E126" s="73">
        <f t="shared" ref="E126:E129" si="62">IF(ISNUMBER(D126), (D126 - $B126) / $B126, "")</f>
        <v>8.2304526748970906E-3</v>
      </c>
      <c r="F126" s="136">
        <f>IF(ISNUMBER(D126), $B145 * E126, "")</f>
        <v>1234.5679012345636</v>
      </c>
      <c r="G126" s="39">
        <v>23</v>
      </c>
      <c r="H126" s="73">
        <f t="shared" ref="H126:H129" si="63">IF(ISNUMBER(G126), (G126 - $B126) / $B126, "")</f>
        <v>-5.3497942386831303E-2</v>
      </c>
      <c r="I126" s="202">
        <f>IF(ISNUMBER(G126), $B145 * H126, "")</f>
        <v>-8024.6913580246955</v>
      </c>
      <c r="J126" s="125">
        <v>23.7</v>
      </c>
      <c r="K126" s="73">
        <f t="shared" ref="K126:K129" si="64">IF(ISNUMBER(J126), (J126 - $B126) / $B126, "")</f>
        <v>-2.4691358024691416E-2</v>
      </c>
      <c r="L126" s="136">
        <f>IF(ISNUMBER(J126), $B145 * K126, "")</f>
        <v>-3703.7037037037126</v>
      </c>
      <c r="M126" s="39">
        <v>23.8</v>
      </c>
      <c r="N126" s="73">
        <f t="shared" ref="N126:N129" si="65">IF(ISNUMBER(M126), (M126 - $B126) / $B126, "")</f>
        <v>-2.0576131687242798E-2</v>
      </c>
      <c r="O126" s="136">
        <f>IF(ISNUMBER(M126), $B145 * N126, "")</f>
        <v>-3086.4197530864199</v>
      </c>
      <c r="Q126" s="270"/>
      <c r="R126" s="270"/>
      <c r="S126" s="270"/>
    </row>
    <row r="127" spans="1:19" ht="17.25" thickBot="1">
      <c r="A127" s="124" t="s">
        <v>214</v>
      </c>
      <c r="B127" s="125">
        <v>22.4</v>
      </c>
      <c r="C127" s="73">
        <v>9.0090090000000001E-3</v>
      </c>
      <c r="D127" s="125">
        <v>20.100000000000001</v>
      </c>
      <c r="E127" s="73">
        <f t="shared" si="62"/>
        <v>-0.10267857142857131</v>
      </c>
      <c r="F127" s="136">
        <f>IF(ISNUMBER(D127), $B145 * E127, "")</f>
        <v>-15401.785714285697</v>
      </c>
      <c r="G127" s="39">
        <v>19.399999999999999</v>
      </c>
      <c r="H127" s="73">
        <f t="shared" si="63"/>
        <v>-0.13392857142857142</v>
      </c>
      <c r="I127" s="202">
        <f>IF(ISNUMBER(G127), $B145 * H127, "")</f>
        <v>-20089.285714285714</v>
      </c>
      <c r="J127" s="125">
        <v>19.5</v>
      </c>
      <c r="K127" s="73">
        <f t="shared" si="64"/>
        <v>-0.12946428571428567</v>
      </c>
      <c r="L127" s="136">
        <f>IF(ISNUMBER(J127), $B145 * K127, "")</f>
        <v>-19419.642857142851</v>
      </c>
      <c r="M127" s="39">
        <v>19.5</v>
      </c>
      <c r="N127" s="73">
        <f t="shared" si="65"/>
        <v>-0.12946428571428567</v>
      </c>
      <c r="O127" s="136">
        <f>IF(ISNUMBER(M127), $B145 * N127, "")</f>
        <v>-19419.642857142851</v>
      </c>
      <c r="Q127" s="275"/>
      <c r="R127" s="275"/>
      <c r="S127" s="275"/>
    </row>
    <row r="128" spans="1:19" ht="17.25" thickBot="1">
      <c r="A128" s="124" t="s">
        <v>154</v>
      </c>
      <c r="B128" s="125">
        <v>20.100000000000001</v>
      </c>
      <c r="C128" s="73">
        <v>5.0000000000000001E-3</v>
      </c>
      <c r="D128" s="125">
        <v>18</v>
      </c>
      <c r="E128" s="73">
        <f t="shared" si="62"/>
        <v>-0.10447761194029857</v>
      </c>
      <c r="F128" s="136">
        <f>IF(ISNUMBER(D128), $B145 * E128, "")</f>
        <v>-15671.641791044785</v>
      </c>
      <c r="G128" s="39">
        <v>17.399999999999999</v>
      </c>
      <c r="H128" s="73">
        <f t="shared" si="63"/>
        <v>-0.13432835820895536</v>
      </c>
      <c r="I128" s="202">
        <f>IF(ISNUMBER(G128), $B145 * H128, "")</f>
        <v>-20149.253731343306</v>
      </c>
      <c r="J128" s="125">
        <v>17.7</v>
      </c>
      <c r="K128" s="73">
        <f t="shared" si="64"/>
        <v>-0.11940298507462696</v>
      </c>
      <c r="L128" s="136">
        <f>IF(ISNUMBER(J128), $B145 * K128, "")</f>
        <v>-17910.447761194046</v>
      </c>
      <c r="M128" s="39">
        <v>17.5</v>
      </c>
      <c r="N128" s="73">
        <f t="shared" si="65"/>
        <v>-0.12935323383084582</v>
      </c>
      <c r="O128" s="136">
        <f>IF(ISNUMBER(M128), $B145 * N128, "")</f>
        <v>-19402.985074626875</v>
      </c>
      <c r="Q128" s="275"/>
      <c r="R128" s="275"/>
      <c r="S128" s="275"/>
    </row>
    <row r="129" spans="1:19" ht="17.25" thickBot="1">
      <c r="A129" s="126" t="s">
        <v>72</v>
      </c>
      <c r="B129" s="127">
        <v>36.4</v>
      </c>
      <c r="C129" s="74">
        <v>-2.7397260000000001E-3</v>
      </c>
      <c r="D129" s="127">
        <v>32.6</v>
      </c>
      <c r="E129" s="74">
        <f t="shared" si="62"/>
        <v>-0.10439560439560432</v>
      </c>
      <c r="F129" s="203">
        <f>IF(ISNUMBER(D129), $B145 * E129, "")</f>
        <v>-15659.340659340647</v>
      </c>
      <c r="G129" s="44">
        <v>30.7</v>
      </c>
      <c r="H129" s="74">
        <f t="shared" si="63"/>
        <v>-0.15659340659340659</v>
      </c>
      <c r="I129" s="204">
        <f>IF(ISNUMBER(G129), $B145 * H129, "")</f>
        <v>-23489.010989010989</v>
      </c>
      <c r="J129" s="127">
        <v>31.3</v>
      </c>
      <c r="K129" s="74">
        <f t="shared" si="64"/>
        <v>-0.14010989010989006</v>
      </c>
      <c r="L129" s="203">
        <f>IF(ISNUMBER(J129), $B145 * K129, "")</f>
        <v>-21016.483516483509</v>
      </c>
      <c r="M129" s="44">
        <v>31.5</v>
      </c>
      <c r="N129" s="74">
        <f t="shared" si="65"/>
        <v>-0.13461538461538458</v>
      </c>
      <c r="O129" s="203">
        <f>IF(ISNUMBER(M129), $B145 * N129, "")</f>
        <v>-20192.307692307688</v>
      </c>
      <c r="Q129" s="275"/>
      <c r="R129" s="275"/>
      <c r="S129" s="275"/>
    </row>
    <row r="130" spans="1:19" ht="17.25" thickBot="1">
      <c r="A130" s="124" t="s">
        <v>228</v>
      </c>
      <c r="B130" s="128">
        <v>18.100000000000001</v>
      </c>
      <c r="C130" s="76">
        <v>-1.09289617E-2</v>
      </c>
      <c r="D130" s="128">
        <v>16.100000000000001</v>
      </c>
      <c r="E130" s="76">
        <f>IF(ISNUMBER(D130), (D130 - $B130) / $B130, "")</f>
        <v>-0.11049723756906077</v>
      </c>
      <c r="F130" s="205">
        <f>IF(ISNUMBER(D130), $B145 * E130, "")</f>
        <v>-16574.585635359115</v>
      </c>
      <c r="G130" s="45">
        <v>15.8</v>
      </c>
      <c r="H130" s="76">
        <f>IF(ISNUMBER(G130), (G130 - $B130) / $B130, "")</f>
        <v>-0.12707182320441993</v>
      </c>
      <c r="I130" s="206">
        <f>IF(ISNUMBER(G130), $B145 * H130, "")</f>
        <v>-19060.773480662989</v>
      </c>
      <c r="J130" s="128">
        <v>15.9</v>
      </c>
      <c r="K130" s="76">
        <f>IF(ISNUMBER(J130), (J130 - $B130) / $B130, "")</f>
        <v>-0.1215469613259669</v>
      </c>
      <c r="L130" s="205">
        <f>IF(ISNUMBER(J130), $B145 * K130, "")</f>
        <v>-18232.044198895037</v>
      </c>
      <c r="M130" s="45">
        <v>15.8</v>
      </c>
      <c r="N130" s="76">
        <f>IF(ISNUMBER(M130), (M130 - $B130) / $B130, "")</f>
        <v>-0.12707182320441993</v>
      </c>
      <c r="O130" s="205">
        <f>IF(ISNUMBER(M130), $B145 * N130, "")</f>
        <v>-19060.773480662989</v>
      </c>
      <c r="Q130" s="275"/>
      <c r="R130" s="275"/>
      <c r="S130" s="275"/>
    </row>
    <row r="131" spans="1:19" ht="17.25" thickBot="1">
      <c r="A131" s="124" t="s">
        <v>222</v>
      </c>
      <c r="B131" s="125">
        <v>18.100000000000001</v>
      </c>
      <c r="C131" s="73">
        <v>-1.09289617E-2</v>
      </c>
      <c r="D131" s="125">
        <v>16.100000000000001</v>
      </c>
      <c r="E131" s="73">
        <f t="shared" ref="E131:E134" si="66">IF(ISNUMBER(D131), (D131 - $B131) / $B131, "")</f>
        <v>-0.11049723756906077</v>
      </c>
      <c r="F131" s="136">
        <f>IF(ISNUMBER(D131), $B145 * E131, "")</f>
        <v>-16574.585635359115</v>
      </c>
      <c r="G131" s="39">
        <v>15.6</v>
      </c>
      <c r="H131" s="73">
        <f t="shared" ref="H131:H134" si="67">IF(ISNUMBER(G131), (G131 - $B131) / $B131, "")</f>
        <v>-0.13812154696132606</v>
      </c>
      <c r="I131" s="202">
        <f>IF(ISNUMBER(G131), $B145 * H131, "")</f>
        <v>-20718.23204419891</v>
      </c>
      <c r="J131" s="125">
        <v>15.7</v>
      </c>
      <c r="K131" s="73">
        <f t="shared" ref="K131:K134" si="68">IF(ISNUMBER(J131), (J131 - $B131) / $B131, "")</f>
        <v>-0.13259668508287303</v>
      </c>
      <c r="L131" s="136">
        <f>IF(ISNUMBER(J131), $B145 * K131, "")</f>
        <v>-19889.502762430955</v>
      </c>
      <c r="M131" s="39">
        <v>15.7</v>
      </c>
      <c r="N131" s="73">
        <f t="shared" ref="N131:N134" si="69">IF(ISNUMBER(M131), (M131 - $B131) / $B131, "")</f>
        <v>-0.13259668508287303</v>
      </c>
      <c r="O131" s="136">
        <f>IF(ISNUMBER(M131), $B145 * N131, "")</f>
        <v>-19889.502762430955</v>
      </c>
      <c r="Q131" s="275"/>
      <c r="R131" s="275"/>
      <c r="S131" s="275"/>
    </row>
    <row r="132" spans="1:19" ht="17.25" thickBot="1">
      <c r="A132" s="124" t="s">
        <v>218</v>
      </c>
      <c r="B132" s="125">
        <v>26.7</v>
      </c>
      <c r="C132" s="73">
        <v>-1.11111111E-2</v>
      </c>
      <c r="D132" s="125">
        <v>23.9</v>
      </c>
      <c r="E132" s="73">
        <f t="shared" si="66"/>
        <v>-0.10486891385767794</v>
      </c>
      <c r="F132" s="136">
        <f>IF(ISNUMBER(D132), $B145 * E132, "")</f>
        <v>-15730.33707865169</v>
      </c>
      <c r="G132" s="39">
        <v>22.6</v>
      </c>
      <c r="H132" s="73">
        <f t="shared" si="67"/>
        <v>-0.15355805243445686</v>
      </c>
      <c r="I132" s="202">
        <f>IF(ISNUMBER(G132), $B145 * H132, "")</f>
        <v>-23033.70786516853</v>
      </c>
      <c r="J132" s="125">
        <v>23.2</v>
      </c>
      <c r="K132" s="73">
        <f t="shared" si="68"/>
        <v>-0.13108614232209739</v>
      </c>
      <c r="L132" s="136">
        <f>IF(ISNUMBER(J132), $B145 * K132, "")</f>
        <v>-19662.921348314609</v>
      </c>
      <c r="M132" s="39">
        <v>23</v>
      </c>
      <c r="N132" s="73">
        <f t="shared" si="69"/>
        <v>-0.13857677902621721</v>
      </c>
      <c r="O132" s="136">
        <f>IF(ISNUMBER(M132), $B145 * N132, "")</f>
        <v>-20786.516853932582</v>
      </c>
      <c r="Q132" s="275"/>
      <c r="R132" s="275"/>
      <c r="S132" s="275"/>
    </row>
    <row r="133" spans="1:19" ht="17.25" thickBot="1">
      <c r="A133" s="124" t="s">
        <v>196</v>
      </c>
      <c r="B133" s="125">
        <v>19.399999999999999</v>
      </c>
      <c r="C133" s="73">
        <v>-2.02020202E-2</v>
      </c>
      <c r="D133" s="125">
        <v>17.7</v>
      </c>
      <c r="E133" s="73">
        <f t="shared" si="66"/>
        <v>-8.762886597938141E-2</v>
      </c>
      <c r="F133" s="136">
        <f>IF(ISNUMBER(D133), $B145 * E133, "")</f>
        <v>-13144.329896907211</v>
      </c>
      <c r="G133" s="39">
        <v>17.3</v>
      </c>
      <c r="H133" s="73">
        <f t="shared" si="67"/>
        <v>-0.10824742268041226</v>
      </c>
      <c r="I133" s="202">
        <f>IF(ISNUMBER(G133), $B145 * H133, "")</f>
        <v>-16237.113402061839</v>
      </c>
      <c r="J133" s="125">
        <v>17.399999999999999</v>
      </c>
      <c r="K133" s="73">
        <f t="shared" si="68"/>
        <v>-0.10309278350515465</v>
      </c>
      <c r="L133" s="136">
        <f>IF(ISNUMBER(J133), $B145 * K133, "")</f>
        <v>-15463.917525773197</v>
      </c>
      <c r="M133" s="39">
        <v>17.399999999999999</v>
      </c>
      <c r="N133" s="73">
        <f t="shared" si="69"/>
        <v>-0.10309278350515465</v>
      </c>
      <c r="O133" s="136">
        <f>IF(ISNUMBER(M133), $B145 * N133, "")</f>
        <v>-15463.917525773197</v>
      </c>
      <c r="Q133" s="33"/>
      <c r="R133" s="33"/>
    </row>
    <row r="134" spans="1:19" ht="17.25" thickBot="1">
      <c r="A134" s="129" t="s">
        <v>186</v>
      </c>
      <c r="B134" s="130">
        <v>23.8</v>
      </c>
      <c r="C134" s="75">
        <v>-2.85714286E-2</v>
      </c>
      <c r="D134" s="130">
        <v>21.3</v>
      </c>
      <c r="E134" s="75">
        <f t="shared" si="66"/>
        <v>-0.10504201680672269</v>
      </c>
      <c r="F134" s="137">
        <f>IF(ISNUMBER(D134), $B145 * E134, "")</f>
        <v>-15756.302521008403</v>
      </c>
      <c r="G134" s="37">
        <v>20.3</v>
      </c>
      <c r="H134" s="75">
        <f t="shared" si="67"/>
        <v>-0.14705882352941177</v>
      </c>
      <c r="I134" s="207">
        <f>IF(ISNUMBER(G134), $B145 * H134, "")</f>
        <v>-22058.823529411766</v>
      </c>
      <c r="J134" s="130">
        <v>20.7</v>
      </c>
      <c r="K134" s="75">
        <f t="shared" si="68"/>
        <v>-0.1302521008403362</v>
      </c>
      <c r="L134" s="137">
        <f>IF(ISNUMBER(J134), $B145 * K134, "")</f>
        <v>-19537.815126050431</v>
      </c>
      <c r="M134" s="37">
        <v>21</v>
      </c>
      <c r="N134" s="75">
        <f t="shared" si="69"/>
        <v>-0.11764705882352944</v>
      </c>
      <c r="O134" s="137">
        <f>IF(ISNUMBER(M134), $B145 * N134, "")</f>
        <v>-17647.058823529416</v>
      </c>
      <c r="Q134" s="284"/>
      <c r="R134" s="285"/>
      <c r="S134" s="286"/>
    </row>
    <row r="135" spans="1:19">
      <c r="A135" s="122" t="s">
        <v>268</v>
      </c>
      <c r="B135" s="123">
        <v>87.6</v>
      </c>
      <c r="C135" s="72">
        <v>-3.2044198900000001E-2</v>
      </c>
      <c r="D135" s="123">
        <v>78.8</v>
      </c>
      <c r="E135" s="72">
        <f>IF(ISNUMBER(D135), (D135 - $B135) / $B135, "")</f>
        <v>-0.10045662100456619</v>
      </c>
      <c r="F135" s="140">
        <f>IF(ISNUMBER(D135), $B145 * E135, "")</f>
        <v>-15068.493150684928</v>
      </c>
      <c r="G135" s="38">
        <v>75.3</v>
      </c>
      <c r="H135" s="72">
        <f>IF(ISNUMBER(G135), (G135 - $B135) / $B135, "")</f>
        <v>-0.14041095890410957</v>
      </c>
      <c r="I135" s="201">
        <f>IF(ISNUMBER(G135), $B145 * H135, "")</f>
        <v>-21061.643835616436</v>
      </c>
      <c r="J135" s="123">
        <v>77</v>
      </c>
      <c r="K135" s="72">
        <f>IF(ISNUMBER(J135), (J135 - $B135) / $B135, "")</f>
        <v>-0.1210045662100456</v>
      </c>
      <c r="L135" s="140">
        <f>IF(ISNUMBER(J135), $B145 * K135, "")</f>
        <v>-18150.684931506839</v>
      </c>
      <c r="M135" s="38">
        <v>77.900000000000006</v>
      </c>
      <c r="N135" s="72">
        <f>IF(ISNUMBER(M135), (M135 - $B135) / $B135, "")</f>
        <v>-0.11073059360730582</v>
      </c>
      <c r="O135" s="140">
        <f>IF(ISNUMBER(M135), $B145 * N135, "")</f>
        <v>-16609.589041095875</v>
      </c>
      <c r="Q135" s="287"/>
      <c r="R135" s="288"/>
      <c r="S135" s="289"/>
    </row>
    <row r="136" spans="1:19" ht="17.25" thickBot="1">
      <c r="A136" s="124" t="s">
        <v>100</v>
      </c>
      <c r="B136" s="125">
        <v>8.1199999999999992</v>
      </c>
      <c r="C136" s="73">
        <v>-3.5629453700000001E-2</v>
      </c>
      <c r="D136" s="125">
        <v>7.6</v>
      </c>
      <c r="E136" s="73">
        <f t="shared" ref="E136:E139" si="70">IF(ISNUMBER(D136), (D136 - $B136) / $B136, "")</f>
        <v>-6.4039408866995023E-2</v>
      </c>
      <c r="F136" s="136">
        <f>IF(ISNUMBER(D136), $B145 * E136, "")</f>
        <v>-9605.9113300492536</v>
      </c>
      <c r="G136" s="39">
        <v>7.3</v>
      </c>
      <c r="H136" s="73">
        <f t="shared" ref="H136:H139" si="71">IF(ISNUMBER(G136), (G136 - $B136) / $B136, "")</f>
        <v>-0.10098522167487678</v>
      </c>
      <c r="I136" s="202">
        <f>IF(ISNUMBER(G136), $B145 * H136, "")</f>
        <v>-15147.783251231516</v>
      </c>
      <c r="J136" s="125">
        <v>7.42</v>
      </c>
      <c r="K136" s="73">
        <f t="shared" ref="K136:K139" si="72">IF(ISNUMBER(J136), (J136 - $B136) / $B136, "")</f>
        <v>-8.620689655172406E-2</v>
      </c>
      <c r="L136" s="136">
        <f>IF(ISNUMBER(J136), $B145 * K136, "")</f>
        <v>-12931.034482758609</v>
      </c>
      <c r="M136" s="39">
        <v>7.39</v>
      </c>
      <c r="N136" s="73">
        <f t="shared" ref="N136:N139" si="73">IF(ISNUMBER(M136), (M136 - $B136) / $B136, "")</f>
        <v>-8.9901477832512261E-2</v>
      </c>
      <c r="O136" s="136">
        <f>IF(ISNUMBER(M136), $B145 * N136, "")</f>
        <v>-13485.221674876839</v>
      </c>
      <c r="Q136" s="290"/>
      <c r="R136" s="291"/>
      <c r="S136" s="292"/>
    </row>
    <row r="137" spans="1:19" ht="17.25" thickBot="1">
      <c r="A137" s="124" t="s">
        <v>220</v>
      </c>
      <c r="B137" s="125">
        <v>18.5</v>
      </c>
      <c r="C137" s="73">
        <v>-3.64583333E-2</v>
      </c>
      <c r="D137" s="125">
        <v>16.600000000000001</v>
      </c>
      <c r="E137" s="73">
        <f t="shared" si="70"/>
        <v>-0.10270270270270263</v>
      </c>
      <c r="F137" s="136">
        <f>IF(ISNUMBER(D137), $B145 * E137, "")</f>
        <v>-15405.405405405394</v>
      </c>
      <c r="G137" s="39">
        <v>16.3</v>
      </c>
      <c r="H137" s="73">
        <f t="shared" si="71"/>
        <v>-0.11891891891891888</v>
      </c>
      <c r="I137" s="202">
        <f>IF(ISNUMBER(G137), $B145 * H137, "")</f>
        <v>-17837.837837837833</v>
      </c>
      <c r="J137" s="125">
        <v>16.899999999999999</v>
      </c>
      <c r="K137" s="73">
        <f t="shared" si="72"/>
        <v>-8.6486486486486561E-2</v>
      </c>
      <c r="L137" s="136">
        <f>IF(ISNUMBER(J137), $B145 * K137, "")</f>
        <v>-12972.972972972984</v>
      </c>
      <c r="M137" s="39">
        <v>16.899999999999999</v>
      </c>
      <c r="N137" s="73">
        <f t="shared" si="73"/>
        <v>-8.6486486486486561E-2</v>
      </c>
      <c r="O137" s="136">
        <f>IF(ISNUMBER(M137), $B145 * N137, "")</f>
        <v>-12972.972972972984</v>
      </c>
      <c r="Q137" s="275"/>
      <c r="R137" s="275"/>
      <c r="S137" s="275"/>
    </row>
    <row r="138" spans="1:19" ht="17.25" thickBot="1">
      <c r="A138" s="124" t="s">
        <v>152</v>
      </c>
      <c r="B138" s="125">
        <v>44.1</v>
      </c>
      <c r="C138" s="73">
        <v>-3.7117903899999999E-2</v>
      </c>
      <c r="D138" s="125">
        <v>39.9</v>
      </c>
      <c r="E138" s="73">
        <f t="shared" si="70"/>
        <v>-9.5238095238095302E-2</v>
      </c>
      <c r="F138" s="136">
        <f>IF(ISNUMBER(D138), $B145 * E138, "")</f>
        <v>-14285.714285714295</v>
      </c>
      <c r="G138" s="39">
        <v>38.299999999999997</v>
      </c>
      <c r="H138" s="73">
        <f t="shared" si="71"/>
        <v>-0.13151927437641733</v>
      </c>
      <c r="I138" s="202">
        <f>IF(ISNUMBER(G138), $B145 * H138, "")</f>
        <v>-19727.8911564626</v>
      </c>
      <c r="J138" s="125">
        <v>38.799999999999997</v>
      </c>
      <c r="K138" s="73">
        <f t="shared" si="72"/>
        <v>-0.12018140589569171</v>
      </c>
      <c r="L138" s="136">
        <f>IF(ISNUMBER(J138), $B145 * K138, "")</f>
        <v>-18027.210884353757</v>
      </c>
      <c r="M138" s="39">
        <v>38.799999999999997</v>
      </c>
      <c r="N138" s="73">
        <f t="shared" si="73"/>
        <v>-0.12018140589569171</v>
      </c>
      <c r="O138" s="136">
        <f>IF(ISNUMBER(M138), $B145 * N138, "")</f>
        <v>-18027.210884353757</v>
      </c>
      <c r="Q138" s="270"/>
      <c r="R138" s="270"/>
      <c r="S138" s="270"/>
    </row>
    <row r="139" spans="1:19" ht="17.25" thickBot="1">
      <c r="A139" s="126" t="s">
        <v>266</v>
      </c>
      <c r="B139" s="127">
        <v>90.1</v>
      </c>
      <c r="C139" s="74">
        <v>-3.7393162399999999E-2</v>
      </c>
      <c r="D139" s="127">
        <v>83.9</v>
      </c>
      <c r="E139" s="74">
        <f t="shared" si="70"/>
        <v>-6.8812430632630289E-2</v>
      </c>
      <c r="F139" s="203">
        <f>IF(ISNUMBER(D139), $B145 * E139, "")</f>
        <v>-10321.864594894543</v>
      </c>
      <c r="G139" s="44">
        <v>82.6</v>
      </c>
      <c r="H139" s="74">
        <f t="shared" si="71"/>
        <v>-8.324084350721421E-2</v>
      </c>
      <c r="I139" s="204">
        <f>IF(ISNUMBER(G139), $B145 * H139, "")</f>
        <v>-12486.126526082131</v>
      </c>
      <c r="J139" s="127">
        <v>83.2</v>
      </c>
      <c r="K139" s="74">
        <f t="shared" si="72"/>
        <v>-7.6581576026636983E-2</v>
      </c>
      <c r="L139" s="203">
        <f>IF(ISNUMBER(J139), $B145 * K139, "")</f>
        <v>-11487.236403995548</v>
      </c>
      <c r="M139" s="44">
        <v>83.1</v>
      </c>
      <c r="N139" s="74">
        <f t="shared" si="73"/>
        <v>-7.7691453940066602E-2</v>
      </c>
      <c r="O139" s="203">
        <f>IF(ISNUMBER(M139), $B145 * N139, "")</f>
        <v>-11653.718091009991</v>
      </c>
      <c r="Q139" s="270"/>
      <c r="R139" s="270"/>
      <c r="S139" s="270"/>
    </row>
    <row r="140" spans="1:19" ht="17.25" thickBot="1">
      <c r="A140" s="124" t="s">
        <v>65</v>
      </c>
      <c r="B140" s="128">
        <v>69.8</v>
      </c>
      <c r="C140" s="76">
        <v>-4.9046321499999997E-2</v>
      </c>
      <c r="D140" s="128">
        <v>64.900000000000006</v>
      </c>
      <c r="E140" s="76">
        <f>IF(ISNUMBER(D140), (D140 - $B140) / $B140, "")</f>
        <v>-7.0200573065902466E-2</v>
      </c>
      <c r="F140" s="205">
        <f>IF(ISNUMBER(D140), $B145 * E140, "")</f>
        <v>-10530.085959885369</v>
      </c>
      <c r="G140" s="45">
        <v>63</v>
      </c>
      <c r="H140" s="76">
        <f>IF(ISNUMBER(G140), (G140 - $B140) / $B140, "")</f>
        <v>-9.7421203438395373E-2</v>
      </c>
      <c r="I140" s="206">
        <f>IF(ISNUMBER(G140), $B145 * H140, "")</f>
        <v>-14613.180515759306</v>
      </c>
      <c r="J140" s="128">
        <v>63.8</v>
      </c>
      <c r="K140" s="76">
        <f>IF(ISNUMBER(J140), (J140 - $B140) / $B140, "")</f>
        <v>-8.5959885386819493E-2</v>
      </c>
      <c r="L140" s="205">
        <f>IF(ISNUMBER(J140), $B145 * K140, "")</f>
        <v>-12893.982808022924</v>
      </c>
      <c r="M140" s="45">
        <v>62.8</v>
      </c>
      <c r="N140" s="76">
        <f>IF(ISNUMBER(M140), (M140 - $B140) / $B140, "")</f>
        <v>-0.10028653295128941</v>
      </c>
      <c r="O140" s="205">
        <f>IF(ISNUMBER(M140), $B145 * N140, "")</f>
        <v>-15042.979942693411</v>
      </c>
      <c r="Q140" s="275"/>
      <c r="R140" s="275"/>
      <c r="S140" s="275"/>
    </row>
    <row r="141" spans="1:19" ht="17.25" thickBot="1">
      <c r="A141" s="124" t="s">
        <v>126</v>
      </c>
      <c r="B141" s="125">
        <v>54.6</v>
      </c>
      <c r="C141" s="73">
        <v>-5.5363321799999997E-2</v>
      </c>
      <c r="D141" s="125">
        <v>50</v>
      </c>
      <c r="E141" s="73">
        <f t="shared" ref="E141:E144" si="74">IF(ISNUMBER(D141), (D141 - $B141) / $B141, "")</f>
        <v>-8.4249084249084269E-2</v>
      </c>
      <c r="F141" s="136">
        <f>IF(ISNUMBER(D141), $B145 * E141, "")</f>
        <v>-12637.362637362641</v>
      </c>
      <c r="G141" s="39">
        <v>48</v>
      </c>
      <c r="H141" s="73">
        <f t="shared" ref="H141:H144" si="75">IF(ISNUMBER(G141), (G141 - $B141) / $B141, "")</f>
        <v>-0.12087912087912091</v>
      </c>
      <c r="I141" s="202">
        <f>IF(ISNUMBER(G141), $B145 * H141, "")</f>
        <v>-18131.868131868137</v>
      </c>
      <c r="J141" s="125">
        <v>48.7</v>
      </c>
      <c r="K141" s="73">
        <f t="shared" ref="K141:K144" si="76">IF(ISNUMBER(J141), (J141 - $B141) / $B141, "")</f>
        <v>-0.10805860805860804</v>
      </c>
      <c r="L141" s="136">
        <f>IF(ISNUMBER(J141), $B145 * K141, "")</f>
        <v>-16208.791208791205</v>
      </c>
      <c r="M141" s="39">
        <v>49</v>
      </c>
      <c r="N141" s="73">
        <f t="shared" ref="N141:N144" si="77">IF(ISNUMBER(M141), (M141 - $B141) / $B141, "")</f>
        <v>-0.10256410256410259</v>
      </c>
      <c r="O141" s="136">
        <f>IF(ISNUMBER(M141), $B145 * N141, "")</f>
        <v>-15384.615384615388</v>
      </c>
      <c r="Q141" s="275"/>
      <c r="R141" s="275"/>
      <c r="S141" s="275"/>
    </row>
    <row r="142" spans="1:19" ht="17.25" thickBot="1">
      <c r="A142" s="124" t="s">
        <v>254</v>
      </c>
      <c r="B142" s="125">
        <v>82.8</v>
      </c>
      <c r="C142" s="73">
        <v>-6.01589103E-2</v>
      </c>
      <c r="D142" s="125">
        <v>73.599999999999994</v>
      </c>
      <c r="E142" s="73">
        <f t="shared" si="74"/>
        <v>-0.11111111111111115</v>
      </c>
      <c r="F142" s="136">
        <f>IF(ISNUMBER(D142), $B145 * E142, "")</f>
        <v>-16666.666666666672</v>
      </c>
      <c r="G142" s="39">
        <v>71.2</v>
      </c>
      <c r="H142" s="73">
        <f t="shared" si="75"/>
        <v>-0.14009661835748785</v>
      </c>
      <c r="I142" s="202">
        <f>IF(ISNUMBER(G142), $B145 * H142, "")</f>
        <v>-21014.492753623177</v>
      </c>
      <c r="J142" s="125">
        <v>72.099999999999994</v>
      </c>
      <c r="K142" s="73">
        <f t="shared" si="76"/>
        <v>-0.12922705314009666</v>
      </c>
      <c r="L142" s="136">
        <f>IF(ISNUMBER(J142), $B145 * K142, "")</f>
        <v>-19384.057971014499</v>
      </c>
      <c r="M142" s="39">
        <v>72.900000000000006</v>
      </c>
      <c r="N142" s="73">
        <f t="shared" si="77"/>
        <v>-0.11956521739130425</v>
      </c>
      <c r="O142" s="136">
        <f>IF(ISNUMBER(M142), $B145 * N142, "")</f>
        <v>-17934.782608695637</v>
      </c>
      <c r="Q142" s="275"/>
      <c r="R142" s="275"/>
      <c r="S142" s="275"/>
    </row>
    <row r="143" spans="1:19">
      <c r="A143" s="124" t="s">
        <v>236</v>
      </c>
      <c r="B143" s="125">
        <v>83.6</v>
      </c>
      <c r="C143" s="73">
        <v>-0.17227722770000001</v>
      </c>
      <c r="D143" s="125">
        <v>74.599999999999994</v>
      </c>
      <c r="E143" s="73">
        <f t="shared" si="74"/>
        <v>-0.1076555023923445</v>
      </c>
      <c r="F143" s="136">
        <f>IF(ISNUMBER(D143), $B145 * E143, "")</f>
        <v>-16148.325358851676</v>
      </c>
      <c r="G143" s="39">
        <v>70</v>
      </c>
      <c r="H143" s="73">
        <f t="shared" si="75"/>
        <v>-0.16267942583732051</v>
      </c>
      <c r="I143" s="202">
        <f>IF(ISNUMBER(G143), $B145 * H143, "")</f>
        <v>-24401.913875598075</v>
      </c>
      <c r="J143" s="125">
        <v>72.2</v>
      </c>
      <c r="K143" s="73">
        <f t="shared" si="76"/>
        <v>-0.13636363636363627</v>
      </c>
      <c r="L143" s="136">
        <f>IF(ISNUMBER(J143), $B145 * K143, "")</f>
        <v>-20454.545454545441</v>
      </c>
      <c r="M143" s="39">
        <v>72.2</v>
      </c>
      <c r="N143" s="73">
        <f t="shared" si="77"/>
        <v>-0.13636363636363627</v>
      </c>
      <c r="O143" s="136">
        <f>IF(ISNUMBER(M143), $B145 * N143, "")</f>
        <v>-20454.545454545441</v>
      </c>
      <c r="Q143" s="297"/>
      <c r="R143" s="298"/>
      <c r="S143" s="299"/>
    </row>
    <row r="144" spans="1:19" ht="17.25" thickBot="1">
      <c r="A144" s="129"/>
      <c r="B144" s="130"/>
      <c r="C144" s="75"/>
      <c r="D144" s="130" t="s">
        <v>297</v>
      </c>
      <c r="E144" s="75" t="str">
        <f t="shared" si="74"/>
        <v/>
      </c>
      <c r="F144" s="137" t="str">
        <f>IF(ISNUMBER(D144), $B145 * E144, "")</f>
        <v/>
      </c>
      <c r="G144" s="37" t="s">
        <v>297</v>
      </c>
      <c r="H144" s="75" t="str">
        <f t="shared" si="75"/>
        <v/>
      </c>
      <c r="I144" s="207" t="str">
        <f>IF(ISNUMBER(G144), $B145 * H144, "")</f>
        <v/>
      </c>
      <c r="J144" s="130" t="s">
        <v>297</v>
      </c>
      <c r="K144" s="75" t="str">
        <f t="shared" si="76"/>
        <v/>
      </c>
      <c r="L144" s="137" t="str">
        <f>IF(ISNUMBER(J144), $B145 * K144, "")</f>
        <v/>
      </c>
      <c r="M144" s="37" t="s">
        <v>297</v>
      </c>
      <c r="N144" s="75" t="str">
        <f t="shared" si="77"/>
        <v/>
      </c>
      <c r="O144" s="137" t="str">
        <f>IF(ISNUMBER(M144), $B145 * N144, "")</f>
        <v/>
      </c>
      <c r="Q144" s="300"/>
      <c r="R144" s="301"/>
      <c r="S144" s="302"/>
    </row>
    <row r="145" spans="1:19" ht="17.25" thickBot="1">
      <c r="A145" s="131" t="s">
        <v>301</v>
      </c>
      <c r="B145" s="308">
        <f>$B$37</f>
        <v>150000</v>
      </c>
      <c r="C145" s="309"/>
      <c r="D145" s="131" t="s">
        <v>302</v>
      </c>
      <c r="E145" s="223">
        <f>IF(COUNT(E125:E144), SUM(E125:E144) / COUNT(E125:E144), 0)</f>
        <v>-9.2362766563491627E-2</v>
      </c>
      <c r="F145" s="208">
        <f>SUM(F125:F144)</f>
        <v>-263233.88470595115</v>
      </c>
      <c r="G145" s="131" t="s">
        <v>302</v>
      </c>
      <c r="H145" s="223">
        <f>IF(COUNT(H125:H144), SUM(H125:H144) / COUNT(H125:H144), 0)</f>
        <v>-0.12661581002444788</v>
      </c>
      <c r="I145" s="208">
        <f>SUM(I125:I144)</f>
        <v>-360855.05856967648</v>
      </c>
      <c r="J145" s="131" t="s">
        <v>302</v>
      </c>
      <c r="K145" s="223">
        <f>IF(COUNT(K125:K144), SUM(K125:K144) / COUNT(K125:K144), 0)</f>
        <v>-0.11222701611156145</v>
      </c>
      <c r="L145" s="208">
        <f>SUM(L125:L144)</f>
        <v>-319846.99591795017</v>
      </c>
      <c r="M145" s="131" t="s">
        <v>302</v>
      </c>
      <c r="N145" s="223">
        <f>IF(COUNT(N125:N144), SUM(N125:N144) / COUNT(N125:N144), 0)</f>
        <v>-0.11193500381696571</v>
      </c>
      <c r="O145" s="208">
        <f>SUM(O125:O144)</f>
        <v>-319014.76087835233</v>
      </c>
      <c r="Q145" s="303"/>
      <c r="R145" s="304"/>
      <c r="S145" s="305"/>
    </row>
    <row r="147" spans="1:19" ht="17.25" thickBot="1"/>
    <row r="148" spans="1:19" ht="17.25" thickBot="1">
      <c r="A148" s="249" t="s">
        <v>289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1"/>
      <c r="Q148" s="270"/>
      <c r="R148" s="270"/>
      <c r="S148" s="270"/>
    </row>
    <row r="149" spans="1:19" ht="17.25" thickBot="1">
      <c r="A149" s="217" t="s">
        <v>298</v>
      </c>
      <c r="B149" s="249" t="s">
        <v>49</v>
      </c>
      <c r="C149" s="251"/>
      <c r="D149" s="249" t="s">
        <v>58</v>
      </c>
      <c r="E149" s="250"/>
      <c r="F149" s="251"/>
      <c r="G149" s="276">
        <f>_xlfn.IFNA(VLOOKUP(B149, 현재가테이블!$B$2:$D$200, 2, FALSE), "-")</f>
        <v>60874000</v>
      </c>
      <c r="H149" s="277"/>
      <c r="I149" s="278"/>
      <c r="J149" s="249" t="s">
        <v>59</v>
      </c>
      <c r="K149" s="250"/>
      <c r="L149" s="251"/>
      <c r="M149" s="279">
        <f>_xlfn.IFNA(VLOOKUP(B149, 현재가테이블!$B$2:$D$200, 3, FALSE), "-")</f>
        <v>-1.4936000099999999E-2</v>
      </c>
      <c r="N149" s="280"/>
      <c r="O149" s="281"/>
      <c r="Q149" s="270"/>
      <c r="R149" s="270"/>
      <c r="S149" s="270"/>
    </row>
    <row r="150" spans="1:19" ht="17.25" thickBot="1">
      <c r="A150" s="310" t="s">
        <v>55</v>
      </c>
      <c r="B150" s="312" t="str">
        <f>TEXT($G$1, "[$-ko-KR]yyyy-mm-dd(ddd) ") &amp; "오전 00:00"</f>
        <v>2021-05-13(목) 오전 00:00</v>
      </c>
      <c r="C150" s="313"/>
      <c r="D150" s="249" t="str">
        <f>TEXT($G$1, "[$-ko-KR]yyyy-mm-dd(ddd) ") &amp; "오후 14:00"</f>
        <v>2021-05-13(목) 오후 14:00</v>
      </c>
      <c r="E150" s="250"/>
      <c r="F150" s="251"/>
      <c r="G150" s="249" t="str">
        <f>TEXT($G$1, "[$-ko-KR]yyyy-mm-dd(ddd) ") &amp; "오후 19:00"</f>
        <v>2021-05-13(목) 오후 19:00</v>
      </c>
      <c r="H150" s="250"/>
      <c r="I150" s="251"/>
      <c r="J150" s="249" t="str">
        <f>TEXT($G$1, "[$-ko-KR]yyyy-mm-dd(ddd) ") &amp; "오후 21:00"</f>
        <v>2021-05-13(목) 오후 21:00</v>
      </c>
      <c r="K150" s="250"/>
      <c r="L150" s="251"/>
      <c r="M150" s="249" t="str">
        <f>TEXT($G$1+1, "[$-ko-KR]yyyy-mm-dd(ddd) ") &amp; "오전 00:00"</f>
        <v>2021-05-14(금) 오전 00:00</v>
      </c>
      <c r="N150" s="250"/>
      <c r="O150" s="251"/>
      <c r="Q150" s="270"/>
      <c r="R150" s="270"/>
      <c r="S150" s="270"/>
    </row>
    <row r="151" spans="1:19" ht="17.25" thickBot="1">
      <c r="A151" s="311"/>
      <c r="B151" s="120" t="s">
        <v>58</v>
      </c>
      <c r="C151" s="121" t="s">
        <v>59</v>
      </c>
      <c r="D151" s="120" t="s">
        <v>58</v>
      </c>
      <c r="E151" s="121" t="s">
        <v>299</v>
      </c>
      <c r="F151" s="224" t="s">
        <v>300</v>
      </c>
      <c r="G151" s="217" t="s">
        <v>58</v>
      </c>
      <c r="H151" s="218" t="s">
        <v>299</v>
      </c>
      <c r="I151" s="219" t="s">
        <v>300</v>
      </c>
      <c r="J151" s="121" t="s">
        <v>58</v>
      </c>
      <c r="K151" s="121" t="s">
        <v>299</v>
      </c>
      <c r="L151" s="221" t="s">
        <v>300</v>
      </c>
      <c r="M151" s="120" t="s">
        <v>58</v>
      </c>
      <c r="N151" s="121" t="s">
        <v>299</v>
      </c>
      <c r="O151" s="222" t="s">
        <v>300</v>
      </c>
      <c r="Q151" s="275"/>
      <c r="R151" s="275"/>
      <c r="S151" s="275"/>
    </row>
    <row r="152" spans="1:19" ht="17.25" thickBot="1">
      <c r="A152" s="122" t="s">
        <v>270</v>
      </c>
      <c r="B152" s="123">
        <v>543</v>
      </c>
      <c r="C152" s="72">
        <v>-1.9855595699999999E-2</v>
      </c>
      <c r="D152" s="123">
        <v>511</v>
      </c>
      <c r="E152" s="72">
        <f>IF(ISNUMBER(D152), (D152 - $B152) / $B152, "")</f>
        <v>-5.8931860036832415E-2</v>
      </c>
      <c r="F152" s="140">
        <f>IF(ISNUMBER(D152), $B172 * E152, "")</f>
        <v>-8839.7790055248624</v>
      </c>
      <c r="G152" s="38">
        <v>500</v>
      </c>
      <c r="H152" s="72">
        <f>IF(ISNUMBER(G152), (G152 - $B152) / $B152, "")</f>
        <v>-7.918968692449356E-2</v>
      </c>
      <c r="I152" s="201">
        <f>IF(ISNUMBER(G152), $B172 * H152, "")</f>
        <v>-11878.453038674033</v>
      </c>
      <c r="J152" s="123">
        <v>512</v>
      </c>
      <c r="K152" s="72">
        <f>IF(ISNUMBER(J152), (J152 - $B152) / $B152, "")</f>
        <v>-5.70902394106814E-2</v>
      </c>
      <c r="L152" s="140">
        <f>IF(ISNUMBER(J152), $B172 * K152, "")</f>
        <v>-8563.53591160221</v>
      </c>
      <c r="M152" s="38">
        <v>510</v>
      </c>
      <c r="N152" s="72">
        <f>IF(ISNUMBER(M152), (M152 - $B152) / $B152, "")</f>
        <v>-6.0773480662983423E-2</v>
      </c>
      <c r="O152" s="140">
        <f>IF(ISNUMBER(M152), $B172 * N152, "")</f>
        <v>-9116.022099447513</v>
      </c>
      <c r="Q152" s="270"/>
      <c r="R152" s="270"/>
      <c r="S152" s="270"/>
    </row>
    <row r="153" spans="1:19" ht="17.25" thickBot="1">
      <c r="A153" s="124" t="s">
        <v>88</v>
      </c>
      <c r="B153" s="125">
        <v>549</v>
      </c>
      <c r="C153" s="73">
        <v>-2.48667851E-2</v>
      </c>
      <c r="D153" s="125">
        <v>517</v>
      </c>
      <c r="E153" s="73">
        <f t="shared" ref="E153:E156" si="78">IF(ISNUMBER(D153), (D153 - $B153) / $B153, "")</f>
        <v>-5.8287795992714025E-2</v>
      </c>
      <c r="F153" s="136">
        <f>IF(ISNUMBER(D153), $B172 * E153, "")</f>
        <v>-8743.1693989071046</v>
      </c>
      <c r="G153" s="39">
        <v>531</v>
      </c>
      <c r="H153" s="73">
        <f t="shared" ref="H153:H156" si="79">IF(ISNUMBER(G153), (G153 - $B153) / $B153, "")</f>
        <v>-3.2786885245901641E-2</v>
      </c>
      <c r="I153" s="202">
        <f>IF(ISNUMBER(G153), $B172 * H153, "")</f>
        <v>-4918.0327868852464</v>
      </c>
      <c r="J153" s="125">
        <v>540</v>
      </c>
      <c r="K153" s="73">
        <f t="shared" ref="K153:K156" si="80">IF(ISNUMBER(J153), (J153 - $B153) / $B153, "")</f>
        <v>-1.6393442622950821E-2</v>
      </c>
      <c r="L153" s="136">
        <f>IF(ISNUMBER(J153), $B172 * K153, "")</f>
        <v>-2459.0163934426232</v>
      </c>
      <c r="M153" s="39">
        <v>525</v>
      </c>
      <c r="N153" s="73">
        <f t="shared" ref="N153:N156" si="81">IF(ISNUMBER(M153), (M153 - $B153) / $B153, "")</f>
        <v>-4.3715846994535519E-2</v>
      </c>
      <c r="O153" s="136">
        <f>IF(ISNUMBER(M153), $B172 * N153, "")</f>
        <v>-6557.377049180328</v>
      </c>
      <c r="Q153" s="270"/>
      <c r="R153" s="270"/>
      <c r="S153" s="270"/>
    </row>
    <row r="154" spans="1:19" ht="17.25" thickBot="1">
      <c r="A154" s="124" t="s">
        <v>278</v>
      </c>
      <c r="B154" s="125">
        <v>153</v>
      </c>
      <c r="C154" s="73">
        <v>-2.5477706999999999E-2</v>
      </c>
      <c r="D154" s="125">
        <v>142</v>
      </c>
      <c r="E154" s="73">
        <f t="shared" si="78"/>
        <v>-7.1895424836601302E-2</v>
      </c>
      <c r="F154" s="136">
        <f>IF(ISNUMBER(D154), $B172 * E154, "")</f>
        <v>-10784.313725490196</v>
      </c>
      <c r="G154" s="39">
        <v>138</v>
      </c>
      <c r="H154" s="73">
        <f t="shared" si="79"/>
        <v>-9.8039215686274508E-2</v>
      </c>
      <c r="I154" s="202">
        <f>IF(ISNUMBER(G154), $B172 * H154, "")</f>
        <v>-14705.882352941177</v>
      </c>
      <c r="J154" s="125">
        <v>140</v>
      </c>
      <c r="K154" s="73">
        <f t="shared" si="80"/>
        <v>-8.4967320261437912E-2</v>
      </c>
      <c r="L154" s="136">
        <f>IF(ISNUMBER(J154), $B172 * K154, "")</f>
        <v>-12745.098039215687</v>
      </c>
      <c r="M154" s="39">
        <v>138</v>
      </c>
      <c r="N154" s="73">
        <f t="shared" si="81"/>
        <v>-9.8039215686274508E-2</v>
      </c>
      <c r="O154" s="136">
        <f>IF(ISNUMBER(M154), $B172 * N154, "")</f>
        <v>-14705.882352941177</v>
      </c>
      <c r="Q154" s="275"/>
      <c r="R154" s="275"/>
      <c r="S154" s="275"/>
    </row>
    <row r="155" spans="1:19" ht="17.25" thickBot="1">
      <c r="A155" s="124" t="s">
        <v>116</v>
      </c>
      <c r="B155" s="125">
        <v>605</v>
      </c>
      <c r="C155" s="73">
        <v>-2.57648953E-2</v>
      </c>
      <c r="D155" s="125">
        <v>546</v>
      </c>
      <c r="E155" s="73">
        <f t="shared" si="78"/>
        <v>-9.7520661157024791E-2</v>
      </c>
      <c r="F155" s="136">
        <f>IF(ISNUMBER(D155), $B172 * E155, "")</f>
        <v>-14628.099173553719</v>
      </c>
      <c r="G155" s="39">
        <v>528</v>
      </c>
      <c r="H155" s="73">
        <f t="shared" si="79"/>
        <v>-0.12727272727272726</v>
      </c>
      <c r="I155" s="202">
        <f>IF(ISNUMBER(G155), $B172 * H155, "")</f>
        <v>-19090.909090909088</v>
      </c>
      <c r="J155" s="125">
        <v>540</v>
      </c>
      <c r="K155" s="73">
        <f t="shared" si="80"/>
        <v>-0.10743801652892562</v>
      </c>
      <c r="L155" s="136">
        <f>IF(ISNUMBER(J155), $B172 * K155, "")</f>
        <v>-16115.702479338843</v>
      </c>
      <c r="M155" s="39">
        <v>531</v>
      </c>
      <c r="N155" s="73">
        <f t="shared" si="81"/>
        <v>-0.12231404958677686</v>
      </c>
      <c r="O155" s="136">
        <f>IF(ISNUMBER(M155), $B172 * N155, "")</f>
        <v>-18347.10743801653</v>
      </c>
      <c r="Q155" s="275"/>
      <c r="R155" s="275"/>
      <c r="S155" s="275"/>
    </row>
    <row r="156" spans="1:19" ht="17.25" thickBot="1">
      <c r="A156" s="126" t="s">
        <v>216</v>
      </c>
      <c r="B156" s="127">
        <v>492</v>
      </c>
      <c r="C156" s="74">
        <v>-2.7667984199999999E-2</v>
      </c>
      <c r="D156" s="127">
        <v>427</v>
      </c>
      <c r="E156" s="74">
        <f t="shared" si="78"/>
        <v>-0.13211382113821138</v>
      </c>
      <c r="F156" s="203">
        <f>IF(ISNUMBER(D156), $B172 * E156, "")</f>
        <v>-19817.073170731706</v>
      </c>
      <c r="G156" s="44">
        <v>431</v>
      </c>
      <c r="H156" s="74">
        <f t="shared" si="79"/>
        <v>-0.12398373983739837</v>
      </c>
      <c r="I156" s="204">
        <f>IF(ISNUMBER(G156), $B172 * H156, "")</f>
        <v>-18597.560975609755</v>
      </c>
      <c r="J156" s="127">
        <v>440</v>
      </c>
      <c r="K156" s="74">
        <f t="shared" si="80"/>
        <v>-0.10569105691056911</v>
      </c>
      <c r="L156" s="203">
        <f>IF(ISNUMBER(J156), $B172 * K156, "")</f>
        <v>-15853.658536585366</v>
      </c>
      <c r="M156" s="44">
        <v>439</v>
      </c>
      <c r="N156" s="74">
        <f t="shared" si="81"/>
        <v>-0.10772357723577236</v>
      </c>
      <c r="O156" s="203">
        <f>IF(ISNUMBER(M156), $B172 * N156, "")</f>
        <v>-16158.536585365855</v>
      </c>
      <c r="Q156" s="275"/>
      <c r="R156" s="275"/>
      <c r="S156" s="275"/>
    </row>
    <row r="157" spans="1:19" ht="17.25" thickBot="1">
      <c r="A157" s="124" t="s">
        <v>156</v>
      </c>
      <c r="B157" s="128">
        <v>167</v>
      </c>
      <c r="C157" s="76">
        <v>-2.9069767400000002E-2</v>
      </c>
      <c r="D157" s="128">
        <v>154</v>
      </c>
      <c r="E157" s="76">
        <f>IF(ISNUMBER(D157), (D157 - $B157) / $B157, "")</f>
        <v>-7.7844311377245512E-2</v>
      </c>
      <c r="F157" s="205">
        <f>IF(ISNUMBER(D157), $B172 * E157, "")</f>
        <v>-11676.646706586827</v>
      </c>
      <c r="G157" s="45">
        <v>151</v>
      </c>
      <c r="H157" s="76">
        <f>IF(ISNUMBER(G157), (G157 - $B157) / $B157, "")</f>
        <v>-9.580838323353294E-2</v>
      </c>
      <c r="I157" s="206">
        <f>IF(ISNUMBER(G157), $B172 * H157, "")</f>
        <v>-14371.257485029941</v>
      </c>
      <c r="J157" s="128">
        <v>153</v>
      </c>
      <c r="K157" s="76">
        <f>IF(ISNUMBER(J157), (J157 - $B157) / $B157, "")</f>
        <v>-8.3832335329341312E-2</v>
      </c>
      <c r="L157" s="205">
        <f>IF(ISNUMBER(J157), $B172 * K157, "")</f>
        <v>-12574.850299401196</v>
      </c>
      <c r="M157" s="45">
        <v>151</v>
      </c>
      <c r="N157" s="76">
        <f>IF(ISNUMBER(M157), (M157 - $B157) / $B157, "")</f>
        <v>-9.580838323353294E-2</v>
      </c>
      <c r="O157" s="205">
        <f>IF(ISNUMBER(M157), $B172 * N157, "")</f>
        <v>-14371.257485029941</v>
      </c>
      <c r="Q157" s="275"/>
      <c r="R157" s="275"/>
      <c r="S157" s="275"/>
    </row>
    <row r="158" spans="1:19" ht="17.25" thickBot="1">
      <c r="A158" s="124" t="s">
        <v>57</v>
      </c>
      <c r="B158" s="125">
        <v>427</v>
      </c>
      <c r="C158" s="73">
        <v>-2.9545454499999999E-2</v>
      </c>
      <c r="D158" s="125">
        <v>394</v>
      </c>
      <c r="E158" s="73">
        <f t="shared" ref="E158:E161" si="82">IF(ISNUMBER(D158), (D158 - $B158) / $B158, "")</f>
        <v>-7.7283372365339581E-2</v>
      </c>
      <c r="F158" s="136">
        <f>IF(ISNUMBER(D158), $B172 * E158, "")</f>
        <v>-11592.505854800937</v>
      </c>
      <c r="G158" s="39">
        <v>383</v>
      </c>
      <c r="H158" s="73">
        <f t="shared" ref="H158:H161" si="83">IF(ISNUMBER(G158), (G158 - $B158) / $B158, "")</f>
        <v>-0.10304449648711944</v>
      </c>
      <c r="I158" s="202">
        <f>IF(ISNUMBER(G158), $B172 * H158, "")</f>
        <v>-15456.674473067917</v>
      </c>
      <c r="J158" s="125">
        <v>389</v>
      </c>
      <c r="K158" s="73">
        <f t="shared" ref="K158:K161" si="84">IF(ISNUMBER(J158), (J158 - $B158) / $B158, "")</f>
        <v>-8.899297423887588E-2</v>
      </c>
      <c r="L158" s="136">
        <f>IF(ISNUMBER(J158), $B172 * K158, "")</f>
        <v>-13348.946135831382</v>
      </c>
      <c r="M158" s="39">
        <v>385</v>
      </c>
      <c r="N158" s="73">
        <f t="shared" ref="N158:N161" si="85">IF(ISNUMBER(M158), (M158 - $B158) / $B158, "")</f>
        <v>-9.8360655737704916E-2</v>
      </c>
      <c r="O158" s="136">
        <f>IF(ISNUMBER(M158), $B172 * N158, "")</f>
        <v>-14754.098360655737</v>
      </c>
      <c r="Q158" s="275"/>
      <c r="R158" s="275"/>
      <c r="S158" s="275"/>
    </row>
    <row r="159" spans="1:19" ht="17.25" thickBot="1">
      <c r="A159" s="124" t="s">
        <v>296</v>
      </c>
      <c r="B159" s="125">
        <v>588</v>
      </c>
      <c r="C159" s="73">
        <v>-3.1301482700000001E-2</v>
      </c>
      <c r="D159" s="125">
        <v>553</v>
      </c>
      <c r="E159" s="73">
        <f t="shared" si="82"/>
        <v>-5.9523809523809521E-2</v>
      </c>
      <c r="F159" s="136">
        <f>IF(ISNUMBER(D159), $B172 * E159, "")</f>
        <v>-8928.5714285714275</v>
      </c>
      <c r="G159" s="39">
        <v>510</v>
      </c>
      <c r="H159" s="73">
        <f t="shared" si="83"/>
        <v>-0.1326530612244898</v>
      </c>
      <c r="I159" s="202">
        <f>IF(ISNUMBER(G159), $B172 * H159, "")</f>
        <v>-19897.959183673469</v>
      </c>
      <c r="J159" s="125">
        <v>518</v>
      </c>
      <c r="K159" s="73">
        <f t="shared" si="84"/>
        <v>-0.11904761904761904</v>
      </c>
      <c r="L159" s="136">
        <f>IF(ISNUMBER(J159), $B172 * K159, "")</f>
        <v>-17857.142857142855</v>
      </c>
      <c r="M159" s="39">
        <v>528</v>
      </c>
      <c r="N159" s="73">
        <f t="shared" si="85"/>
        <v>-0.10204081632653061</v>
      </c>
      <c r="O159" s="136">
        <f>IF(ISNUMBER(M159), $B172 * N159, "")</f>
        <v>-15306.122448979591</v>
      </c>
      <c r="Q159" s="275"/>
      <c r="R159" s="275"/>
      <c r="S159" s="275"/>
    </row>
    <row r="160" spans="1:19" ht="17.25" thickBot="1">
      <c r="A160" s="124" t="s">
        <v>252</v>
      </c>
      <c r="B160" s="125">
        <v>520</v>
      </c>
      <c r="C160" s="73">
        <v>-3.1657355700000001E-2</v>
      </c>
      <c r="D160" s="125">
        <v>448</v>
      </c>
      <c r="E160" s="73">
        <f t="shared" si="82"/>
        <v>-0.13846153846153847</v>
      </c>
      <c r="F160" s="136">
        <f>IF(ISNUMBER(D160), $B172 * E160, "")</f>
        <v>-20769.23076923077</v>
      </c>
      <c r="G160" s="39">
        <v>430</v>
      </c>
      <c r="H160" s="73">
        <f t="shared" si="83"/>
        <v>-0.17307692307692307</v>
      </c>
      <c r="I160" s="202">
        <f>IF(ISNUMBER(G160), $B172 * H160, "")</f>
        <v>-25961.538461538461</v>
      </c>
      <c r="J160" s="125">
        <v>441</v>
      </c>
      <c r="K160" s="73">
        <f t="shared" si="84"/>
        <v>-0.15192307692307691</v>
      </c>
      <c r="L160" s="136">
        <f>IF(ISNUMBER(J160), $B172 * K160, "")</f>
        <v>-22788.461538461535</v>
      </c>
      <c r="M160" s="39">
        <v>445</v>
      </c>
      <c r="N160" s="73">
        <f t="shared" si="85"/>
        <v>-0.14423076923076922</v>
      </c>
      <c r="O160" s="136">
        <f>IF(ISNUMBER(M160), $B172 * N160, "")</f>
        <v>-21634.615384615383</v>
      </c>
      <c r="Q160" s="33"/>
      <c r="R160" s="33"/>
    </row>
    <row r="161" spans="1:19" ht="17.25" thickBot="1">
      <c r="A161" s="129" t="s">
        <v>148</v>
      </c>
      <c r="B161" s="130">
        <v>188</v>
      </c>
      <c r="C161" s="75">
        <v>-3.5897435900000003E-2</v>
      </c>
      <c r="D161" s="130">
        <v>180</v>
      </c>
      <c r="E161" s="75">
        <f t="shared" si="82"/>
        <v>-4.2553191489361701E-2</v>
      </c>
      <c r="F161" s="137">
        <f>IF(ISNUMBER(D161), $B172 * E161, "")</f>
        <v>-6382.9787234042551</v>
      </c>
      <c r="G161" s="37">
        <v>177</v>
      </c>
      <c r="H161" s="75">
        <f t="shared" si="83"/>
        <v>-5.8510638297872342E-2</v>
      </c>
      <c r="I161" s="207">
        <f>IF(ISNUMBER(G161), $B172 * H161, "")</f>
        <v>-8776.5957446808516</v>
      </c>
      <c r="J161" s="130">
        <v>179</v>
      </c>
      <c r="K161" s="75">
        <f t="shared" si="84"/>
        <v>-4.7872340425531915E-2</v>
      </c>
      <c r="L161" s="137">
        <f>IF(ISNUMBER(J161), $B172 * K161, "")</f>
        <v>-7180.8510638297876</v>
      </c>
      <c r="M161" s="37">
        <v>175</v>
      </c>
      <c r="N161" s="75">
        <f t="shared" si="85"/>
        <v>-6.9148936170212769E-2</v>
      </c>
      <c r="O161" s="137">
        <f>IF(ISNUMBER(M161), $B172 * N161, "")</f>
        <v>-10372.340425531915</v>
      </c>
      <c r="Q161" s="284"/>
      <c r="R161" s="285"/>
      <c r="S161" s="286"/>
    </row>
    <row r="162" spans="1:19">
      <c r="A162" s="122" t="s">
        <v>128</v>
      </c>
      <c r="B162" s="123">
        <v>633</v>
      </c>
      <c r="C162" s="72">
        <v>-3.65296804E-2</v>
      </c>
      <c r="D162" s="123">
        <v>597</v>
      </c>
      <c r="E162" s="72">
        <f>IF(ISNUMBER(D162), (D162 - $B162) / $B162, "")</f>
        <v>-5.6872037914691941E-2</v>
      </c>
      <c r="F162" s="140">
        <f>IF(ISNUMBER(D162), $B172 * E162, "")</f>
        <v>-8530.8056872037905</v>
      </c>
      <c r="G162" s="38">
        <v>585</v>
      </c>
      <c r="H162" s="72">
        <f>IF(ISNUMBER(G162), (G162 - $B162) / $B162, "")</f>
        <v>-7.582938388625593E-2</v>
      </c>
      <c r="I162" s="201">
        <f>IF(ISNUMBER(G162), $B172 * H162, "")</f>
        <v>-11374.407582938389</v>
      </c>
      <c r="J162" s="123">
        <v>591</v>
      </c>
      <c r="K162" s="72">
        <f>IF(ISNUMBER(J162), (J162 - $B162) / $B162, "")</f>
        <v>-6.6350710900473939E-2</v>
      </c>
      <c r="L162" s="140">
        <f>IF(ISNUMBER(J162), $B172 * K162, "")</f>
        <v>-9952.6066350710917</v>
      </c>
      <c r="M162" s="38">
        <v>588</v>
      </c>
      <c r="N162" s="72">
        <f>IF(ISNUMBER(M162), (M162 - $B162) / $B162, "")</f>
        <v>-7.1090047393364927E-2</v>
      </c>
      <c r="O162" s="140">
        <f>IF(ISNUMBER(M162), $B172 * N162, "")</f>
        <v>-10663.507109004739</v>
      </c>
      <c r="Q162" s="287"/>
      <c r="R162" s="288"/>
      <c r="S162" s="289"/>
    </row>
    <row r="163" spans="1:19" ht="17.25" thickBot="1">
      <c r="A163" s="124" t="s">
        <v>170</v>
      </c>
      <c r="B163" s="125">
        <v>525</v>
      </c>
      <c r="C163" s="73">
        <v>-3.6697247699999998E-2</v>
      </c>
      <c r="D163" s="125">
        <v>475</v>
      </c>
      <c r="E163" s="73">
        <f t="shared" ref="E163:E166" si="86">IF(ISNUMBER(D163), (D163 - $B163) / $B163, "")</f>
        <v>-9.5238095238095233E-2</v>
      </c>
      <c r="F163" s="136">
        <f>IF(ISNUMBER(D163), $B172 * E163, "")</f>
        <v>-14285.714285714284</v>
      </c>
      <c r="G163" s="39">
        <v>460</v>
      </c>
      <c r="H163" s="73">
        <f t="shared" ref="H163:H166" si="87">IF(ISNUMBER(G163), (G163 - $B163) / $B163, "")</f>
        <v>-0.12380952380952381</v>
      </c>
      <c r="I163" s="202">
        <f>IF(ISNUMBER(G163), $B172 * H163, "")</f>
        <v>-18571.428571428572</v>
      </c>
      <c r="J163" s="125">
        <v>465</v>
      </c>
      <c r="K163" s="73">
        <f t="shared" ref="K163:K166" si="88">IF(ISNUMBER(J163), (J163 - $B163) / $B163, "")</f>
        <v>-0.11428571428571428</v>
      </c>
      <c r="L163" s="136">
        <f>IF(ISNUMBER(J163), $B172 * K163, "")</f>
        <v>-17142.857142857141</v>
      </c>
      <c r="M163" s="39">
        <v>467</v>
      </c>
      <c r="N163" s="73">
        <f t="shared" ref="N163:N166" si="89">IF(ISNUMBER(M163), (M163 - $B163) / $B163, "")</f>
        <v>-0.11047619047619048</v>
      </c>
      <c r="O163" s="136">
        <f>IF(ISNUMBER(M163), $B172 * N163, "")</f>
        <v>-16571.428571428572</v>
      </c>
      <c r="Q163" s="290"/>
      <c r="R163" s="291"/>
      <c r="S163" s="292"/>
    </row>
    <row r="164" spans="1:19" ht="17.25" thickBot="1">
      <c r="A164" s="124" t="s">
        <v>142</v>
      </c>
      <c r="B164" s="125">
        <v>431</v>
      </c>
      <c r="C164" s="73">
        <v>-3.7946428599999998E-2</v>
      </c>
      <c r="D164" s="125">
        <v>404</v>
      </c>
      <c r="E164" s="73">
        <f t="shared" si="86"/>
        <v>-6.2645011600928072E-2</v>
      </c>
      <c r="F164" s="136">
        <f>IF(ISNUMBER(D164), $B172 * E164, "")</f>
        <v>-9396.7517401392106</v>
      </c>
      <c r="G164" s="39">
        <v>394</v>
      </c>
      <c r="H164" s="73">
        <f t="shared" si="87"/>
        <v>-8.584686774941995E-2</v>
      </c>
      <c r="I164" s="202">
        <f>IF(ISNUMBER(G164), $B172 * H164, "")</f>
        <v>-12877.030162412993</v>
      </c>
      <c r="J164" s="125">
        <v>400</v>
      </c>
      <c r="K164" s="73">
        <f t="shared" si="88"/>
        <v>-7.1925754060324823E-2</v>
      </c>
      <c r="L164" s="136">
        <f>IF(ISNUMBER(J164), $B172 * K164, "")</f>
        <v>-10788.863109048723</v>
      </c>
      <c r="M164" s="39">
        <v>411</v>
      </c>
      <c r="N164" s="73">
        <f t="shared" si="89"/>
        <v>-4.6403712296983757E-2</v>
      </c>
      <c r="O164" s="136">
        <f>IF(ISNUMBER(M164), $B172 * N164, "")</f>
        <v>-6960.5568445475637</v>
      </c>
      <c r="Q164" s="275"/>
      <c r="R164" s="275"/>
      <c r="S164" s="275"/>
    </row>
    <row r="165" spans="1:19" ht="17.25" thickBot="1">
      <c r="A165" s="124" t="s">
        <v>284</v>
      </c>
      <c r="B165" s="125">
        <v>454</v>
      </c>
      <c r="C165" s="73">
        <v>-3.8135593199999998E-2</v>
      </c>
      <c r="D165" s="125">
        <v>408</v>
      </c>
      <c r="E165" s="73">
        <f t="shared" si="86"/>
        <v>-0.1013215859030837</v>
      </c>
      <c r="F165" s="136">
        <f>IF(ISNUMBER(D165), $B172 * E165, "")</f>
        <v>-15198.237885462555</v>
      </c>
      <c r="G165" s="39">
        <v>401</v>
      </c>
      <c r="H165" s="73">
        <f t="shared" si="87"/>
        <v>-0.11674008810572688</v>
      </c>
      <c r="I165" s="202">
        <f>IF(ISNUMBER(G165), $B172 * H165, "")</f>
        <v>-17511.013215859031</v>
      </c>
      <c r="J165" s="125">
        <v>404</v>
      </c>
      <c r="K165" s="73">
        <f t="shared" si="88"/>
        <v>-0.11013215859030837</v>
      </c>
      <c r="L165" s="136">
        <f>IF(ISNUMBER(J165), $B172 * K165, "")</f>
        <v>-16519.823788546255</v>
      </c>
      <c r="M165" s="39">
        <v>402</v>
      </c>
      <c r="N165" s="73">
        <f t="shared" si="89"/>
        <v>-0.11453744493392071</v>
      </c>
      <c r="O165" s="136">
        <f>IF(ISNUMBER(M165), $B172 * N165, "")</f>
        <v>-17180.616740088106</v>
      </c>
      <c r="Q165" s="270"/>
      <c r="R165" s="270"/>
      <c r="S165" s="270"/>
    </row>
    <row r="166" spans="1:19" ht="17.25" thickBot="1">
      <c r="A166" s="126" t="s">
        <v>182</v>
      </c>
      <c r="B166" s="127">
        <v>492</v>
      </c>
      <c r="C166" s="74">
        <v>-3.90625E-2</v>
      </c>
      <c r="D166" s="127">
        <v>570</v>
      </c>
      <c r="E166" s="74">
        <f t="shared" si="86"/>
        <v>0.15853658536585366</v>
      </c>
      <c r="F166" s="203">
        <f>IF(ISNUMBER(D166), $B172 * E166, "")</f>
        <v>23780.487804878048</v>
      </c>
      <c r="G166" s="44">
        <v>530</v>
      </c>
      <c r="H166" s="74">
        <f t="shared" si="87"/>
        <v>7.7235772357723581E-2</v>
      </c>
      <c r="I166" s="204">
        <f>IF(ISNUMBER(G166), $B172 * H166, "")</f>
        <v>11585.365853658537</v>
      </c>
      <c r="J166" s="127">
        <v>545</v>
      </c>
      <c r="K166" s="74">
        <f t="shared" si="88"/>
        <v>0.10772357723577236</v>
      </c>
      <c r="L166" s="203">
        <f>IF(ISNUMBER(J166), $B172 * K166, "")</f>
        <v>16158.536585365855</v>
      </c>
      <c r="M166" s="44">
        <v>553</v>
      </c>
      <c r="N166" s="74">
        <f t="shared" si="89"/>
        <v>0.12398373983739837</v>
      </c>
      <c r="O166" s="203">
        <f>IF(ISNUMBER(M166), $B172 * N166, "")</f>
        <v>18597.560975609755</v>
      </c>
      <c r="Q166" s="270"/>
      <c r="R166" s="270"/>
      <c r="S166" s="270"/>
    </row>
    <row r="167" spans="1:19" ht="17.25" thickBot="1">
      <c r="A167" s="124" t="s">
        <v>54</v>
      </c>
      <c r="B167" s="128">
        <v>333</v>
      </c>
      <c r="C167" s="76">
        <v>-4.0345821300000001E-2</v>
      </c>
      <c r="D167" s="128">
        <v>339</v>
      </c>
      <c r="E167" s="76">
        <f>IF(ISNUMBER(D167), (D167 - $B167) / $B167, "")</f>
        <v>1.8018018018018018E-2</v>
      </c>
      <c r="F167" s="205">
        <f>IF(ISNUMBER(D167), $B172 * E167, "")</f>
        <v>2702.7027027027025</v>
      </c>
      <c r="G167" s="45">
        <v>331</v>
      </c>
      <c r="H167" s="76">
        <f>IF(ISNUMBER(G167), (G167 - $B167) / $B167, "")</f>
        <v>-6.006006006006006E-3</v>
      </c>
      <c r="I167" s="206">
        <f>IF(ISNUMBER(G167), $B172 * H167, "")</f>
        <v>-900.90090090090087</v>
      </c>
      <c r="J167" s="128">
        <v>343</v>
      </c>
      <c r="K167" s="76">
        <f>IF(ISNUMBER(J167), (J167 - $B167) / $B167, "")</f>
        <v>3.003003003003003E-2</v>
      </c>
      <c r="L167" s="205">
        <f>IF(ISNUMBER(J167), $B172 * K167, "")</f>
        <v>4504.5045045045044</v>
      </c>
      <c r="M167" s="45">
        <v>333</v>
      </c>
      <c r="N167" s="76">
        <f>IF(ISNUMBER(M167), (M167 - $B167) / $B167, "")</f>
        <v>0</v>
      </c>
      <c r="O167" s="205">
        <f>IF(ISNUMBER(M167), $B172 * N167, "")</f>
        <v>0</v>
      </c>
      <c r="Q167" s="275"/>
      <c r="R167" s="275"/>
      <c r="S167" s="275"/>
    </row>
    <row r="168" spans="1:19" ht="17.25" thickBot="1">
      <c r="A168" s="124" t="s">
        <v>136</v>
      </c>
      <c r="B168" s="125">
        <v>257</v>
      </c>
      <c r="C168" s="73">
        <v>-5.1660516599999998E-2</v>
      </c>
      <c r="D168" s="125">
        <v>236</v>
      </c>
      <c r="E168" s="73">
        <f t="shared" ref="E168:E171" si="90">IF(ISNUMBER(D168), (D168 - $B168) / $B168, "")</f>
        <v>-8.171206225680934E-2</v>
      </c>
      <c r="F168" s="136">
        <f>IF(ISNUMBER(D168), $B172 * E168, "")</f>
        <v>-12256.809338521402</v>
      </c>
      <c r="G168" s="39">
        <v>229</v>
      </c>
      <c r="H168" s="73">
        <f t="shared" ref="H168:H171" si="91">IF(ISNUMBER(G168), (G168 - $B168) / $B168, "")</f>
        <v>-0.10894941634241245</v>
      </c>
      <c r="I168" s="202">
        <f>IF(ISNUMBER(G168), $B172 * H168, "")</f>
        <v>-16342.412451361868</v>
      </c>
      <c r="J168" s="125">
        <v>235</v>
      </c>
      <c r="K168" s="73">
        <f t="shared" ref="K168:K171" si="92">IF(ISNUMBER(J168), (J168 - $B168) / $B168, "")</f>
        <v>-8.5603112840466927E-2</v>
      </c>
      <c r="L168" s="136">
        <f>IF(ISNUMBER(J168), $B172 * K168, "")</f>
        <v>-12840.466926070039</v>
      </c>
      <c r="M168" s="39">
        <v>237</v>
      </c>
      <c r="N168" s="73">
        <f t="shared" ref="N168:N171" si="93">IF(ISNUMBER(M168), (M168 - $B168) / $B168, "")</f>
        <v>-7.7821011673151752E-2</v>
      </c>
      <c r="O168" s="136">
        <f>IF(ISNUMBER(M168), $B172 * N168, "")</f>
        <v>-11673.151750972764</v>
      </c>
      <c r="Q168" s="275"/>
      <c r="R168" s="275"/>
      <c r="S168" s="275"/>
    </row>
    <row r="169" spans="1:19" ht="17.25" thickBot="1">
      <c r="A169" s="124" t="s">
        <v>132</v>
      </c>
      <c r="B169" s="125">
        <v>248</v>
      </c>
      <c r="C169" s="73">
        <v>-5.7034220500000003E-2</v>
      </c>
      <c r="D169" s="125">
        <v>226</v>
      </c>
      <c r="E169" s="73">
        <f t="shared" si="90"/>
        <v>-8.8709677419354843E-2</v>
      </c>
      <c r="F169" s="136">
        <f>IF(ISNUMBER(D169), $B172 * E169, "")</f>
        <v>-13306.451612903227</v>
      </c>
      <c r="G169" s="39">
        <v>223</v>
      </c>
      <c r="H169" s="73">
        <f t="shared" si="91"/>
        <v>-0.10080645161290322</v>
      </c>
      <c r="I169" s="202">
        <f>IF(ISNUMBER(G169), $B172 * H169, "")</f>
        <v>-15120.967741935483</v>
      </c>
      <c r="J169" s="125">
        <v>226</v>
      </c>
      <c r="K169" s="73">
        <f t="shared" si="92"/>
        <v>-8.8709677419354843E-2</v>
      </c>
      <c r="L169" s="136">
        <f>IF(ISNUMBER(J169), $B172 * K169, "")</f>
        <v>-13306.451612903227</v>
      </c>
      <c r="M169" s="39">
        <v>226</v>
      </c>
      <c r="N169" s="73">
        <f t="shared" si="93"/>
        <v>-8.8709677419354843E-2</v>
      </c>
      <c r="O169" s="136">
        <f>IF(ISNUMBER(M169), $B172 * N169, "")</f>
        <v>-13306.451612903227</v>
      </c>
      <c r="Q169" s="275"/>
      <c r="R169" s="275"/>
      <c r="S169" s="275"/>
    </row>
    <row r="170" spans="1:19">
      <c r="A170" s="124" t="s">
        <v>168</v>
      </c>
      <c r="B170" s="125">
        <v>224</v>
      </c>
      <c r="C170" s="73">
        <v>-5.8823529399999998E-2</v>
      </c>
      <c r="D170" s="125">
        <v>197</v>
      </c>
      <c r="E170" s="73">
        <f t="shared" si="90"/>
        <v>-0.12053571428571429</v>
      </c>
      <c r="F170" s="136">
        <f>IF(ISNUMBER(D170), $B172 * E170, "")</f>
        <v>-18080.357142857145</v>
      </c>
      <c r="G170" s="39">
        <v>192</v>
      </c>
      <c r="H170" s="73">
        <f t="shared" si="91"/>
        <v>-0.14285714285714285</v>
      </c>
      <c r="I170" s="202">
        <f>IF(ISNUMBER(G170), $B172 * H170, "")</f>
        <v>-21428.571428571428</v>
      </c>
      <c r="J170" s="125">
        <v>196</v>
      </c>
      <c r="K170" s="73">
        <f t="shared" si="92"/>
        <v>-0.125</v>
      </c>
      <c r="L170" s="136">
        <f>IF(ISNUMBER(J170), $B172 * K170, "")</f>
        <v>-18750</v>
      </c>
      <c r="M170" s="39">
        <v>194</v>
      </c>
      <c r="N170" s="73">
        <f t="shared" si="93"/>
        <v>-0.13392857142857142</v>
      </c>
      <c r="O170" s="136">
        <f>IF(ISNUMBER(M170), $B172 * N170, "")</f>
        <v>-20089.285714285714</v>
      </c>
      <c r="Q170" s="297"/>
      <c r="R170" s="298"/>
      <c r="S170" s="299"/>
    </row>
    <row r="171" spans="1:19" ht="17.25" thickBot="1">
      <c r="A171" s="129" t="s">
        <v>51</v>
      </c>
      <c r="B171" s="130">
        <v>816</v>
      </c>
      <c r="C171" s="75">
        <v>-9.6345515000000007E-2</v>
      </c>
      <c r="D171" s="130">
        <v>787</v>
      </c>
      <c r="E171" s="75">
        <f t="shared" si="90"/>
        <v>-3.5539215686274508E-2</v>
      </c>
      <c r="F171" s="137">
        <f>IF(ISNUMBER(D171), $B172 * E171, "")</f>
        <v>-5330.8823529411766</v>
      </c>
      <c r="G171" s="37">
        <v>741</v>
      </c>
      <c r="H171" s="75">
        <f t="shared" si="91"/>
        <v>-9.1911764705882359E-2</v>
      </c>
      <c r="I171" s="207">
        <f>IF(ISNUMBER(G171), $B172 * H171, "")</f>
        <v>-13786.764705882353</v>
      </c>
      <c r="J171" s="130">
        <v>761</v>
      </c>
      <c r="K171" s="75">
        <f t="shared" si="92"/>
        <v>-6.7401960784313722E-2</v>
      </c>
      <c r="L171" s="137">
        <f>IF(ISNUMBER(J171), $B172 * K171, "")</f>
        <v>-10110.294117647058</v>
      </c>
      <c r="M171" s="37">
        <v>755</v>
      </c>
      <c r="N171" s="75">
        <f t="shared" si="93"/>
        <v>-7.4754901960784312E-2</v>
      </c>
      <c r="O171" s="137">
        <f>IF(ISNUMBER(M171), $B172 * N171, "")</f>
        <v>-11213.235294117647</v>
      </c>
      <c r="Q171" s="300"/>
      <c r="R171" s="301"/>
      <c r="S171" s="302"/>
    </row>
    <row r="172" spans="1:19" ht="17.25" thickBot="1">
      <c r="A172" s="131" t="s">
        <v>301</v>
      </c>
      <c r="B172" s="308">
        <f>$B$37</f>
        <v>150000</v>
      </c>
      <c r="C172" s="309"/>
      <c r="D172" s="131" t="s">
        <v>302</v>
      </c>
      <c r="E172" s="223">
        <f>IF(COUNT(E152:E171), SUM(E152:E171) / COUNT(E152:E171), 0)</f>
        <v>-6.4021729164987939E-2</v>
      </c>
      <c r="F172" s="208">
        <f>SUM(F152:F171)</f>
        <v>-192065.1874949639</v>
      </c>
      <c r="G172" s="131" t="s">
        <v>302</v>
      </c>
      <c r="H172" s="223">
        <f>IF(COUNT(H152:H171), SUM(H152:H171) / COUNT(H152:H171), 0)</f>
        <v>-8.9994331500214159E-2</v>
      </c>
      <c r="I172" s="208">
        <f>SUM(I152:I171)</f>
        <v>-269982.99450064241</v>
      </c>
      <c r="J172" s="131" t="s">
        <v>302</v>
      </c>
      <c r="K172" s="223">
        <f>IF(COUNT(K152:K171), SUM(K152:K171) / COUNT(K152:K171), 0)</f>
        <v>-7.2745195165708224E-2</v>
      </c>
      <c r="L172" s="208">
        <f>SUM(L152:L171)</f>
        <v>-218235.58549712464</v>
      </c>
      <c r="M172" s="131" t="s">
        <v>302</v>
      </c>
      <c r="N172" s="223">
        <f>IF(COUNT(N152:N171), SUM(N152:N171) / COUNT(N152:N171), 0)</f>
        <v>-7.6794677430500835E-2</v>
      </c>
      <c r="O172" s="208">
        <f>SUM(O152:O171)</f>
        <v>-230384.03229150255</v>
      </c>
      <c r="Q172" s="303"/>
      <c r="R172" s="304"/>
      <c r="S172" s="305"/>
    </row>
    <row r="174" spans="1:19" ht="17.25" thickBot="1"/>
    <row r="175" spans="1:19" ht="17.25" thickBot="1">
      <c r="A175" s="249" t="s">
        <v>285</v>
      </c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50"/>
      <c r="M175" s="250"/>
      <c r="N175" s="250"/>
      <c r="O175" s="251"/>
      <c r="Q175" s="270"/>
      <c r="R175" s="270"/>
      <c r="S175" s="270"/>
    </row>
    <row r="176" spans="1:19" ht="17.25" thickBot="1">
      <c r="A176" s="217" t="s">
        <v>298</v>
      </c>
      <c r="B176" s="249" t="s">
        <v>49</v>
      </c>
      <c r="C176" s="251"/>
      <c r="D176" s="249" t="s">
        <v>58</v>
      </c>
      <c r="E176" s="250"/>
      <c r="F176" s="251"/>
      <c r="G176" s="276">
        <f>_xlfn.IFNA(VLOOKUP(B176, 현재가테이블!$B$2:$D$200, 2, FALSE), "-")</f>
        <v>60874000</v>
      </c>
      <c r="H176" s="277"/>
      <c r="I176" s="278"/>
      <c r="J176" s="249" t="s">
        <v>59</v>
      </c>
      <c r="K176" s="250"/>
      <c r="L176" s="251"/>
      <c r="M176" s="279">
        <f>_xlfn.IFNA(VLOOKUP(B176, 현재가테이블!$B$2:$D$200, 3, FALSE), "-")</f>
        <v>-1.4936000099999999E-2</v>
      </c>
      <c r="N176" s="280"/>
      <c r="O176" s="281"/>
      <c r="Q176" s="270"/>
      <c r="R176" s="270"/>
      <c r="S176" s="270"/>
    </row>
    <row r="177" spans="1:19" ht="17.25" thickBot="1">
      <c r="A177" s="310" t="s">
        <v>55</v>
      </c>
      <c r="B177" s="312" t="str">
        <f>TEXT($G$1, "[$-ko-KR]yyyy-mm-dd(ddd) ") &amp; "오전 00:00"</f>
        <v>2021-05-13(목) 오전 00:00</v>
      </c>
      <c r="C177" s="313"/>
      <c r="D177" s="249" t="str">
        <f>TEXT($G$1, "[$-ko-KR]yyyy-mm-dd(ddd) ") &amp; "오후 14:00"</f>
        <v>2021-05-13(목) 오후 14:00</v>
      </c>
      <c r="E177" s="250"/>
      <c r="F177" s="251"/>
      <c r="G177" s="249" t="str">
        <f>TEXT($G$1, "[$-ko-KR]yyyy-mm-dd(ddd) ") &amp; "오후 19:00"</f>
        <v>2021-05-13(목) 오후 19:00</v>
      </c>
      <c r="H177" s="250"/>
      <c r="I177" s="251"/>
      <c r="J177" s="249" t="str">
        <f>TEXT($G$1, "[$-ko-KR]yyyy-mm-dd(ddd) ") &amp; "오후 21:00"</f>
        <v>2021-05-13(목) 오후 21:00</v>
      </c>
      <c r="K177" s="250"/>
      <c r="L177" s="251"/>
      <c r="M177" s="249" t="str">
        <f>TEXT($G$1+1, "[$-ko-KR]yyyy-mm-dd(ddd) ") &amp; "오전 00:00"</f>
        <v>2021-05-14(금) 오전 00:00</v>
      </c>
      <c r="N177" s="250"/>
      <c r="O177" s="251"/>
      <c r="Q177" s="270"/>
      <c r="R177" s="270"/>
      <c r="S177" s="270"/>
    </row>
    <row r="178" spans="1:19" ht="17.25" thickBot="1">
      <c r="A178" s="311"/>
      <c r="B178" s="120" t="s">
        <v>58</v>
      </c>
      <c r="C178" s="121" t="s">
        <v>59</v>
      </c>
      <c r="D178" s="120" t="s">
        <v>58</v>
      </c>
      <c r="E178" s="121" t="s">
        <v>299</v>
      </c>
      <c r="F178" s="224" t="s">
        <v>300</v>
      </c>
      <c r="G178" s="217" t="s">
        <v>58</v>
      </c>
      <c r="H178" s="218" t="s">
        <v>299</v>
      </c>
      <c r="I178" s="219" t="s">
        <v>300</v>
      </c>
      <c r="J178" s="121" t="s">
        <v>58</v>
      </c>
      <c r="K178" s="121" t="s">
        <v>299</v>
      </c>
      <c r="L178" s="221" t="s">
        <v>300</v>
      </c>
      <c r="M178" s="120" t="s">
        <v>58</v>
      </c>
      <c r="N178" s="121" t="s">
        <v>299</v>
      </c>
      <c r="O178" s="222" t="s">
        <v>300</v>
      </c>
      <c r="Q178" s="275"/>
      <c r="R178" s="275"/>
      <c r="S178" s="275"/>
    </row>
    <row r="179" spans="1:19" ht="17.25" thickBot="1">
      <c r="A179" s="122" t="s">
        <v>126</v>
      </c>
      <c r="B179" s="123">
        <v>54.6</v>
      </c>
      <c r="C179" s="72">
        <v>-5.5363321799999997E-2</v>
      </c>
      <c r="D179" s="123">
        <v>50</v>
      </c>
      <c r="E179" s="72">
        <f>IF(ISNUMBER(D179), (D179 - $B179) / $B179, "")</f>
        <v>-8.4249084249084269E-2</v>
      </c>
      <c r="F179" s="140">
        <f>IF(ISNUMBER(D179), $B199 * E179, "")</f>
        <v>-12637.362637362641</v>
      </c>
      <c r="G179" s="38">
        <v>48</v>
      </c>
      <c r="H179" s="72">
        <f>IF(ISNUMBER(G179), (G179 - $B179) / $B179, "")</f>
        <v>-0.12087912087912091</v>
      </c>
      <c r="I179" s="201">
        <f>IF(ISNUMBER(G179), $B199 * H179, "")</f>
        <v>-18131.868131868137</v>
      </c>
      <c r="J179" s="123">
        <v>48.7</v>
      </c>
      <c r="K179" s="72">
        <f>IF(ISNUMBER(J179), (J179 - $B179) / $B179, "")</f>
        <v>-0.10805860805860804</v>
      </c>
      <c r="L179" s="140">
        <f>IF(ISNUMBER(J179), $B199 * K179, "")</f>
        <v>-16208.791208791205</v>
      </c>
      <c r="M179" s="38">
        <v>49</v>
      </c>
      <c r="N179" s="72">
        <f>IF(ISNUMBER(M179), (M179 - $B179) / $B179, "")</f>
        <v>-0.10256410256410259</v>
      </c>
      <c r="O179" s="140">
        <f>IF(ISNUMBER(M179), $B199 * N179, "")</f>
        <v>-15384.615384615388</v>
      </c>
      <c r="Q179" s="270"/>
      <c r="R179" s="270"/>
      <c r="S179" s="270"/>
    </row>
    <row r="180" spans="1:19" ht="17.25" thickBot="1">
      <c r="A180" s="124" t="s">
        <v>78</v>
      </c>
      <c r="B180" s="125">
        <v>1792500</v>
      </c>
      <c r="C180" s="73">
        <v>-5.5584826099999998E-2</v>
      </c>
      <c r="D180" s="125">
        <v>1628500</v>
      </c>
      <c r="E180" s="73">
        <f t="shared" ref="E180:E183" si="94">IF(ISNUMBER(D180), (D180 - $B180) / $B180, "")</f>
        <v>-9.1492329149232915E-2</v>
      </c>
      <c r="F180" s="136">
        <f>IF(ISNUMBER(D180), $B199 * E180, "")</f>
        <v>-13723.849372384937</v>
      </c>
      <c r="G180" s="39">
        <v>1583000</v>
      </c>
      <c r="H180" s="73">
        <f t="shared" ref="H180:H183" si="95">IF(ISNUMBER(G180), (G180 - $B180) / $B180, "")</f>
        <v>-0.11687587168758717</v>
      </c>
      <c r="I180" s="202">
        <f>IF(ISNUMBER(G180), $B199 * H180, "")</f>
        <v>-17531.380753138077</v>
      </c>
      <c r="J180" s="125">
        <v>1607000</v>
      </c>
      <c r="K180" s="73">
        <f t="shared" ref="K180:K183" si="96">IF(ISNUMBER(J180), (J180 - $B180) / $B180, "")</f>
        <v>-0.10348675034867504</v>
      </c>
      <c r="L180" s="136">
        <f>IF(ISNUMBER(J180), $B199 * K180, "")</f>
        <v>-15523.012552301256</v>
      </c>
      <c r="M180" s="39">
        <v>1578000</v>
      </c>
      <c r="N180" s="73">
        <f t="shared" ref="N180:N183" si="97">IF(ISNUMBER(M180), (M180 - $B180) / $B180, "")</f>
        <v>-0.1196652719665272</v>
      </c>
      <c r="O180" s="136">
        <f>IF(ISNUMBER(M180), $B199 * N180, "")</f>
        <v>-17949.790794979079</v>
      </c>
      <c r="Q180" s="270"/>
      <c r="R180" s="270"/>
      <c r="S180" s="270"/>
    </row>
    <row r="181" spans="1:19" ht="17.25" thickBot="1">
      <c r="A181" s="124" t="s">
        <v>262</v>
      </c>
      <c r="B181" s="125">
        <v>1270</v>
      </c>
      <c r="C181" s="73">
        <v>-5.5762081800000002E-2</v>
      </c>
      <c r="D181" s="125">
        <v>1120</v>
      </c>
      <c r="E181" s="73">
        <f t="shared" si="94"/>
        <v>-0.11811023622047244</v>
      </c>
      <c r="F181" s="136">
        <f>IF(ISNUMBER(D181), $B199 * E181, "")</f>
        <v>-17716.535433070865</v>
      </c>
      <c r="G181" s="39">
        <v>1075</v>
      </c>
      <c r="H181" s="73">
        <f t="shared" si="95"/>
        <v>-0.15354330708661418</v>
      </c>
      <c r="I181" s="202">
        <f>IF(ISNUMBER(G181), $B199 * H181, "")</f>
        <v>-23031.496062992126</v>
      </c>
      <c r="J181" s="125">
        <v>1100</v>
      </c>
      <c r="K181" s="73">
        <f t="shared" si="96"/>
        <v>-0.13385826771653545</v>
      </c>
      <c r="L181" s="136">
        <f>IF(ISNUMBER(J181), $B199 * K181, "")</f>
        <v>-20078.740157480315</v>
      </c>
      <c r="M181" s="39">
        <v>1110</v>
      </c>
      <c r="N181" s="73">
        <f t="shared" si="97"/>
        <v>-0.12598425196850394</v>
      </c>
      <c r="O181" s="136">
        <f>IF(ISNUMBER(M181), $B199 * N181, "")</f>
        <v>-18897.63779527559</v>
      </c>
      <c r="Q181" s="275"/>
      <c r="R181" s="275"/>
      <c r="S181" s="275"/>
    </row>
    <row r="182" spans="1:19" ht="17.25" thickBot="1">
      <c r="A182" s="124" t="s">
        <v>132</v>
      </c>
      <c r="B182" s="125">
        <v>248</v>
      </c>
      <c r="C182" s="73">
        <v>-5.7034220500000003E-2</v>
      </c>
      <c r="D182" s="125">
        <v>226</v>
      </c>
      <c r="E182" s="73">
        <f t="shared" si="94"/>
        <v>-8.8709677419354843E-2</v>
      </c>
      <c r="F182" s="136">
        <f>IF(ISNUMBER(D182), $B199 * E182, "")</f>
        <v>-13306.451612903227</v>
      </c>
      <c r="G182" s="39">
        <v>223</v>
      </c>
      <c r="H182" s="73">
        <f t="shared" si="95"/>
        <v>-0.10080645161290322</v>
      </c>
      <c r="I182" s="202">
        <f>IF(ISNUMBER(G182), $B199 * H182, "")</f>
        <v>-15120.967741935483</v>
      </c>
      <c r="J182" s="125">
        <v>226</v>
      </c>
      <c r="K182" s="73">
        <f t="shared" si="96"/>
        <v>-8.8709677419354843E-2</v>
      </c>
      <c r="L182" s="136">
        <f>IF(ISNUMBER(J182), $B199 * K182, "")</f>
        <v>-13306.451612903227</v>
      </c>
      <c r="M182" s="39">
        <v>226</v>
      </c>
      <c r="N182" s="73">
        <f t="shared" si="97"/>
        <v>-8.8709677419354843E-2</v>
      </c>
      <c r="O182" s="136">
        <f>IF(ISNUMBER(M182), $B199 * N182, "")</f>
        <v>-13306.451612903227</v>
      </c>
      <c r="Q182" s="275"/>
      <c r="R182" s="275"/>
      <c r="S182" s="275"/>
    </row>
    <row r="183" spans="1:19" ht="17.25" thickBot="1">
      <c r="A183" s="126" t="s">
        <v>168</v>
      </c>
      <c r="B183" s="127">
        <v>224</v>
      </c>
      <c r="C183" s="74">
        <v>-5.8823529399999998E-2</v>
      </c>
      <c r="D183" s="127">
        <v>197</v>
      </c>
      <c r="E183" s="74">
        <f t="shared" si="94"/>
        <v>-0.12053571428571429</v>
      </c>
      <c r="F183" s="203">
        <f>IF(ISNUMBER(D183), $B199 * E183, "")</f>
        <v>-18080.357142857145</v>
      </c>
      <c r="G183" s="44">
        <v>192</v>
      </c>
      <c r="H183" s="74">
        <f t="shared" si="95"/>
        <v>-0.14285714285714285</v>
      </c>
      <c r="I183" s="204">
        <f>IF(ISNUMBER(G183), $B199 * H183, "")</f>
        <v>-21428.571428571428</v>
      </c>
      <c r="J183" s="127">
        <v>196</v>
      </c>
      <c r="K183" s="74">
        <f t="shared" si="96"/>
        <v>-0.125</v>
      </c>
      <c r="L183" s="203">
        <f>IF(ISNUMBER(J183), $B199 * K183, "")</f>
        <v>-18750</v>
      </c>
      <c r="M183" s="44">
        <v>194</v>
      </c>
      <c r="N183" s="74">
        <f t="shared" si="97"/>
        <v>-0.13392857142857142</v>
      </c>
      <c r="O183" s="203">
        <f>IF(ISNUMBER(M183), $B199 * N183, "")</f>
        <v>-20089.285714285714</v>
      </c>
      <c r="Q183" s="275"/>
      <c r="R183" s="275"/>
      <c r="S183" s="275"/>
    </row>
    <row r="184" spans="1:19" ht="17.25" thickBot="1">
      <c r="A184" s="124" t="s">
        <v>63</v>
      </c>
      <c r="B184" s="128">
        <v>133750</v>
      </c>
      <c r="C184" s="76">
        <v>-5.9092507900000001E-2</v>
      </c>
      <c r="D184" s="128">
        <v>124600</v>
      </c>
      <c r="E184" s="76">
        <f>IF(ISNUMBER(D184), (D184 - $B184) / $B184, "")</f>
        <v>-6.841121495327103E-2</v>
      </c>
      <c r="F184" s="205">
        <f>IF(ISNUMBER(D184), $B199 * E184, "")</f>
        <v>-10261.682242990655</v>
      </c>
      <c r="G184" s="45">
        <v>120900</v>
      </c>
      <c r="H184" s="76">
        <f>IF(ISNUMBER(G184), (G184 - $B184) / $B184, "")</f>
        <v>-9.6074766355140187E-2</v>
      </c>
      <c r="I184" s="206">
        <f>IF(ISNUMBER(G184), $B199 * H184, "")</f>
        <v>-14411.214953271028</v>
      </c>
      <c r="J184" s="128">
        <v>123200</v>
      </c>
      <c r="K184" s="76">
        <f>IF(ISNUMBER(J184), (J184 - $B184) / $B184, "")</f>
        <v>-7.8878504672897198E-2</v>
      </c>
      <c r="L184" s="205">
        <f>IF(ISNUMBER(J184), $B199 * K184, "")</f>
        <v>-11831.775700934581</v>
      </c>
      <c r="M184" s="45">
        <v>120400</v>
      </c>
      <c r="N184" s="76">
        <f>IF(ISNUMBER(M184), (M184 - $B184) / $B184, "")</f>
        <v>-9.9813084112149536E-2</v>
      </c>
      <c r="O184" s="205">
        <f>IF(ISNUMBER(M184), $B199 * N184, "")</f>
        <v>-14971.962616822431</v>
      </c>
      <c r="Q184" s="275"/>
      <c r="R184" s="275"/>
      <c r="S184" s="275"/>
    </row>
    <row r="185" spans="1:19" ht="17.25" thickBot="1">
      <c r="A185" s="124" t="s">
        <v>254</v>
      </c>
      <c r="B185" s="125">
        <v>82.8</v>
      </c>
      <c r="C185" s="73">
        <v>-6.01589103E-2</v>
      </c>
      <c r="D185" s="125">
        <v>73.599999999999994</v>
      </c>
      <c r="E185" s="73">
        <f t="shared" ref="E185:E188" si="98">IF(ISNUMBER(D185), (D185 - $B185) / $B185, "")</f>
        <v>-0.11111111111111115</v>
      </c>
      <c r="F185" s="136">
        <f>IF(ISNUMBER(D185), $B199 * E185, "")</f>
        <v>-16666.666666666672</v>
      </c>
      <c r="G185" s="39">
        <v>71.2</v>
      </c>
      <c r="H185" s="73">
        <f t="shared" ref="H185:H188" si="99">IF(ISNUMBER(G185), (G185 - $B185) / $B185, "")</f>
        <v>-0.14009661835748785</v>
      </c>
      <c r="I185" s="202">
        <f>IF(ISNUMBER(G185), $B199 * H185, "")</f>
        <v>-21014.492753623177</v>
      </c>
      <c r="J185" s="125">
        <v>72.099999999999994</v>
      </c>
      <c r="K185" s="73">
        <f t="shared" ref="K185:K188" si="100">IF(ISNUMBER(J185), (J185 - $B185) / $B185, "")</f>
        <v>-0.12922705314009666</v>
      </c>
      <c r="L185" s="136">
        <f>IF(ISNUMBER(J185), $B199 * K185, "")</f>
        <v>-19384.057971014499</v>
      </c>
      <c r="M185" s="39">
        <v>72.900000000000006</v>
      </c>
      <c r="N185" s="73">
        <f t="shared" ref="N185:N188" si="101">IF(ISNUMBER(M185), (M185 - $B185) / $B185, "")</f>
        <v>-0.11956521739130425</v>
      </c>
      <c r="O185" s="136">
        <f>IF(ISNUMBER(M185), $B199 * N185, "")</f>
        <v>-17934.782608695637</v>
      </c>
      <c r="Q185" s="275"/>
      <c r="R185" s="275"/>
      <c r="S185" s="275"/>
    </row>
    <row r="186" spans="1:19" ht="17.25" thickBot="1">
      <c r="A186" s="124" t="s">
        <v>192</v>
      </c>
      <c r="B186" s="125">
        <v>1130</v>
      </c>
      <c r="C186" s="73">
        <v>-6.22406639E-2</v>
      </c>
      <c r="D186" s="125">
        <v>1015</v>
      </c>
      <c r="E186" s="73">
        <f t="shared" si="98"/>
        <v>-0.10176991150442478</v>
      </c>
      <c r="F186" s="136">
        <f>IF(ISNUMBER(D186), $B199 * E186, "")</f>
        <v>-15265.486725663717</v>
      </c>
      <c r="G186" s="39">
        <v>991</v>
      </c>
      <c r="H186" s="73">
        <f t="shared" si="99"/>
        <v>-0.12300884955752213</v>
      </c>
      <c r="I186" s="202">
        <f>IF(ISNUMBER(G186), $B199 * H186, "")</f>
        <v>-18451.327433628321</v>
      </c>
      <c r="J186" s="125">
        <v>1005</v>
      </c>
      <c r="K186" s="73">
        <f t="shared" si="100"/>
        <v>-0.11061946902654868</v>
      </c>
      <c r="L186" s="136">
        <f>IF(ISNUMBER(J186), $B199 * K186, "")</f>
        <v>-16592.920353982303</v>
      </c>
      <c r="M186" s="39">
        <v>1000</v>
      </c>
      <c r="N186" s="73">
        <f t="shared" si="101"/>
        <v>-0.11504424778761062</v>
      </c>
      <c r="O186" s="136">
        <f>IF(ISNUMBER(M186), $B199 * N186, "")</f>
        <v>-17256.637168141591</v>
      </c>
      <c r="Q186" s="275"/>
      <c r="R186" s="275"/>
      <c r="S186" s="275"/>
    </row>
    <row r="187" spans="1:19" ht="17.25" thickBot="1">
      <c r="A187" s="124" t="s">
        <v>108</v>
      </c>
      <c r="B187" s="125">
        <v>56690</v>
      </c>
      <c r="C187" s="73">
        <v>-6.29752066E-2</v>
      </c>
      <c r="D187" s="125">
        <v>50100</v>
      </c>
      <c r="E187" s="73">
        <f t="shared" si="98"/>
        <v>-0.1162462515434821</v>
      </c>
      <c r="F187" s="136">
        <f>IF(ISNUMBER(D187), $B199 * E187, "")</f>
        <v>-17436.937731522314</v>
      </c>
      <c r="G187" s="39">
        <v>51290</v>
      </c>
      <c r="H187" s="73">
        <f t="shared" si="99"/>
        <v>-9.5254895043217505E-2</v>
      </c>
      <c r="I187" s="202">
        <f>IF(ISNUMBER(G187), $B199 * H187, "")</f>
        <v>-14288.234256482625</v>
      </c>
      <c r="J187" s="125">
        <v>51740</v>
      </c>
      <c r="K187" s="73">
        <f t="shared" si="100"/>
        <v>-8.7316987122949372E-2</v>
      </c>
      <c r="L187" s="136">
        <f>IF(ISNUMBER(J187), $B199 * K187, "")</f>
        <v>-13097.548068442406</v>
      </c>
      <c r="M187" s="39">
        <v>51470</v>
      </c>
      <c r="N187" s="73">
        <f t="shared" si="101"/>
        <v>-9.2079731875110246E-2</v>
      </c>
      <c r="O187" s="136">
        <f>IF(ISNUMBER(M187), $B199 * N187, "")</f>
        <v>-13811.959781266536</v>
      </c>
      <c r="Q187" s="33"/>
      <c r="R187" s="33"/>
    </row>
    <row r="188" spans="1:19" ht="17.25" thickBot="1">
      <c r="A188" s="129" t="s">
        <v>110</v>
      </c>
      <c r="B188" s="130">
        <v>2885</v>
      </c>
      <c r="C188" s="75">
        <v>-6.3311688300000002E-2</v>
      </c>
      <c r="D188" s="130">
        <v>2725</v>
      </c>
      <c r="E188" s="75">
        <f t="shared" si="98"/>
        <v>-5.5459272097053723E-2</v>
      </c>
      <c r="F188" s="137">
        <f>IF(ISNUMBER(D188), $B199 * E188, "")</f>
        <v>-8318.890814558059</v>
      </c>
      <c r="G188" s="37">
        <v>2660</v>
      </c>
      <c r="H188" s="75">
        <f t="shared" si="99"/>
        <v>-7.7989601386481797E-2</v>
      </c>
      <c r="I188" s="207">
        <f>IF(ISNUMBER(G188), $B199 * H188, "")</f>
        <v>-11698.440207972269</v>
      </c>
      <c r="J188" s="130">
        <v>2710</v>
      </c>
      <c r="K188" s="75">
        <f t="shared" si="100"/>
        <v>-6.0658578856152515E-2</v>
      </c>
      <c r="L188" s="137">
        <f>IF(ISNUMBER(J188), $B199 * K188, "")</f>
        <v>-9098.7868284228771</v>
      </c>
      <c r="M188" s="37">
        <v>2760</v>
      </c>
      <c r="N188" s="75">
        <f t="shared" si="101"/>
        <v>-4.3327556325823226E-2</v>
      </c>
      <c r="O188" s="137">
        <f>IF(ISNUMBER(M188), $B199 * N188, "")</f>
        <v>-6499.1334488734838</v>
      </c>
      <c r="Q188" s="284"/>
      <c r="R188" s="285"/>
      <c r="S188" s="286"/>
    </row>
    <row r="189" spans="1:19">
      <c r="A189" s="122" t="s">
        <v>248</v>
      </c>
      <c r="B189" s="123">
        <v>3590</v>
      </c>
      <c r="C189" s="72">
        <v>-6.3885267300000007E-2</v>
      </c>
      <c r="D189" s="123">
        <v>3165</v>
      </c>
      <c r="E189" s="72">
        <f>IF(ISNUMBER(D189), (D189 - $B189) / $B189, "")</f>
        <v>-0.11838440111420613</v>
      </c>
      <c r="F189" s="140">
        <f>IF(ISNUMBER(D189), $B199 * E189, "")</f>
        <v>-17757.660167130918</v>
      </c>
      <c r="G189" s="38">
        <v>3065</v>
      </c>
      <c r="H189" s="72">
        <f>IF(ISNUMBER(G189), (G189 - $B189) / $B189, "")</f>
        <v>-0.14623955431754876</v>
      </c>
      <c r="I189" s="201">
        <f>IF(ISNUMBER(G189), $B199 * H189, "")</f>
        <v>-21935.933147632313</v>
      </c>
      <c r="J189" s="123">
        <v>3125</v>
      </c>
      <c r="K189" s="72">
        <f>IF(ISNUMBER(J189), (J189 - $B189) / $B189, "")</f>
        <v>-0.12952646239554316</v>
      </c>
      <c r="L189" s="140">
        <f>IF(ISNUMBER(J189), $B199 * K189, "")</f>
        <v>-19428.969359331473</v>
      </c>
      <c r="M189" s="38">
        <v>3105</v>
      </c>
      <c r="N189" s="72">
        <f>IF(ISNUMBER(M189), (M189 - $B189) / $B189, "")</f>
        <v>-0.13509749303621169</v>
      </c>
      <c r="O189" s="140">
        <f>IF(ISNUMBER(M189), $B199 * N189, "")</f>
        <v>-20264.623955431754</v>
      </c>
      <c r="Q189" s="287"/>
      <c r="R189" s="288"/>
      <c r="S189" s="289"/>
    </row>
    <row r="190" spans="1:19" ht="17.25" thickBot="1">
      <c r="A190" s="124" t="s">
        <v>104</v>
      </c>
      <c r="B190" s="125">
        <v>2940</v>
      </c>
      <c r="C190" s="73">
        <v>-6.8145800300000003E-2</v>
      </c>
      <c r="D190" s="125">
        <v>2760</v>
      </c>
      <c r="E190" s="73">
        <f t="shared" ref="E190:E193" si="102">IF(ISNUMBER(D190), (D190 - $B190) / $B190, "")</f>
        <v>-6.1224489795918366E-2</v>
      </c>
      <c r="F190" s="136">
        <f>IF(ISNUMBER(D190), $B199 * E190, "")</f>
        <v>-9183.6734693877552</v>
      </c>
      <c r="G190" s="39">
        <v>2680</v>
      </c>
      <c r="H190" s="73">
        <f t="shared" ref="H190:H193" si="103">IF(ISNUMBER(G190), (G190 - $B190) / $B190, "")</f>
        <v>-8.8435374149659865E-2</v>
      </c>
      <c r="I190" s="202">
        <f>IF(ISNUMBER(G190), $B199 * H190, "")</f>
        <v>-13265.306122448979</v>
      </c>
      <c r="J190" s="125">
        <v>2700</v>
      </c>
      <c r="K190" s="73">
        <f t="shared" ref="K190:K193" si="104">IF(ISNUMBER(J190), (J190 - $B190) / $B190, "")</f>
        <v>-8.1632653061224483E-2</v>
      </c>
      <c r="L190" s="136">
        <f>IF(ISNUMBER(J190), $B199 * K190, "")</f>
        <v>-12244.897959183672</v>
      </c>
      <c r="M190" s="39">
        <v>2685</v>
      </c>
      <c r="N190" s="73">
        <f t="shared" ref="N190:N193" si="105">IF(ISNUMBER(M190), (M190 - $B190) / $B190, "")</f>
        <v>-8.673469387755102E-2</v>
      </c>
      <c r="O190" s="136">
        <f>IF(ISNUMBER(M190), $B199 * N190, "")</f>
        <v>-13010.204081632653</v>
      </c>
      <c r="Q190" s="290"/>
      <c r="R190" s="291"/>
      <c r="S190" s="292"/>
    </row>
    <row r="191" spans="1:19" ht="17.25" thickBot="1">
      <c r="A191" s="124" t="s">
        <v>90</v>
      </c>
      <c r="B191" s="125">
        <v>447800</v>
      </c>
      <c r="C191" s="73">
        <v>-7.0182724299999999E-2</v>
      </c>
      <c r="D191" s="125">
        <v>405000</v>
      </c>
      <c r="E191" s="73">
        <f t="shared" si="102"/>
        <v>-9.5578383206788742E-2</v>
      </c>
      <c r="F191" s="136">
        <f>IF(ISNUMBER(D191), $B199 * E191, "")</f>
        <v>-14336.757481018311</v>
      </c>
      <c r="G191" s="39">
        <v>403900</v>
      </c>
      <c r="H191" s="73">
        <f t="shared" si="103"/>
        <v>-9.8034836980795001E-2</v>
      </c>
      <c r="I191" s="202">
        <f>IF(ISNUMBER(G191), $B199 * H191, "")</f>
        <v>-14705.225547119249</v>
      </c>
      <c r="J191" s="125">
        <v>408650</v>
      </c>
      <c r="K191" s="73">
        <f t="shared" si="104"/>
        <v>-8.7427422956677089E-2</v>
      </c>
      <c r="L191" s="136">
        <f>IF(ISNUMBER(J191), $B199 * K191, "")</f>
        <v>-13114.113443501563</v>
      </c>
      <c r="M191" s="39">
        <v>400800</v>
      </c>
      <c r="N191" s="73">
        <f t="shared" si="105"/>
        <v>-0.10495757034390353</v>
      </c>
      <c r="O191" s="136">
        <f>IF(ISNUMBER(M191), $B199 * N191, "")</f>
        <v>-15743.63555158553</v>
      </c>
      <c r="Q191" s="275"/>
      <c r="R191" s="275"/>
      <c r="S191" s="275"/>
    </row>
    <row r="192" spans="1:19" ht="17.25" thickBot="1">
      <c r="A192" s="124" t="s">
        <v>94</v>
      </c>
      <c r="B192" s="125">
        <v>136850</v>
      </c>
      <c r="C192" s="73">
        <v>-7.5025346399999998E-2</v>
      </c>
      <c r="D192" s="125">
        <v>118100</v>
      </c>
      <c r="E192" s="73">
        <f t="shared" si="102"/>
        <v>-0.1370113262696383</v>
      </c>
      <c r="F192" s="136">
        <f>IF(ISNUMBER(D192), $B199 * E192, "")</f>
        <v>-20551.698940445745</v>
      </c>
      <c r="G192" s="39">
        <v>114750</v>
      </c>
      <c r="H192" s="73">
        <f t="shared" si="103"/>
        <v>-0.16149068322981366</v>
      </c>
      <c r="I192" s="202">
        <f>IF(ISNUMBER(G192), $B199 * H192, "")</f>
        <v>-24223.602484472049</v>
      </c>
      <c r="J192" s="125">
        <v>116950</v>
      </c>
      <c r="K192" s="73">
        <f t="shared" si="104"/>
        <v>-0.14541468761417611</v>
      </c>
      <c r="L192" s="136">
        <f>IF(ISNUMBER(J192), $B199 * K192, "")</f>
        <v>-21812.203142126418</v>
      </c>
      <c r="M192" s="39">
        <v>116500</v>
      </c>
      <c r="N192" s="73">
        <f t="shared" si="105"/>
        <v>-0.14870295944464743</v>
      </c>
      <c r="O192" s="136">
        <f>IF(ISNUMBER(M192), $B199 * N192, "")</f>
        <v>-22305.443916697113</v>
      </c>
      <c r="Q192" s="270"/>
      <c r="R192" s="270"/>
      <c r="S192" s="270"/>
    </row>
    <row r="193" spans="1:19" ht="17.25" thickBot="1">
      <c r="A193" s="126" t="s">
        <v>144</v>
      </c>
      <c r="B193" s="127">
        <v>13770</v>
      </c>
      <c r="C193" s="74">
        <v>-9.1089108899999993E-2</v>
      </c>
      <c r="D193" s="127">
        <v>12570</v>
      </c>
      <c r="E193" s="74">
        <f t="shared" si="102"/>
        <v>-8.714596949891068E-2</v>
      </c>
      <c r="F193" s="203">
        <f>IF(ISNUMBER(D193), $B199 * E193, "")</f>
        <v>-13071.895424836603</v>
      </c>
      <c r="G193" s="44">
        <v>12280</v>
      </c>
      <c r="H193" s="74">
        <f t="shared" si="103"/>
        <v>-0.10820624546114742</v>
      </c>
      <c r="I193" s="204">
        <f>IF(ISNUMBER(G193), $B199 * H193, "")</f>
        <v>-16230.936819172113</v>
      </c>
      <c r="J193" s="127">
        <v>12480</v>
      </c>
      <c r="K193" s="74">
        <f t="shared" si="104"/>
        <v>-9.3681917211328972E-2</v>
      </c>
      <c r="L193" s="203">
        <f>IF(ISNUMBER(J193), $B199 * K193, "")</f>
        <v>-14052.287581699346</v>
      </c>
      <c r="M193" s="44">
        <v>12520</v>
      </c>
      <c r="N193" s="74">
        <f t="shared" si="105"/>
        <v>-9.0777051561365285E-2</v>
      </c>
      <c r="O193" s="203">
        <f>IF(ISNUMBER(M193), $B199 * N193, "")</f>
        <v>-13616.557734204793</v>
      </c>
      <c r="Q193" s="270"/>
      <c r="R193" s="270"/>
      <c r="S193" s="270"/>
    </row>
    <row r="194" spans="1:19" ht="17.25" thickBot="1">
      <c r="A194" s="124" t="s">
        <v>51</v>
      </c>
      <c r="B194" s="128">
        <v>816</v>
      </c>
      <c r="C194" s="76">
        <v>-9.6345515000000007E-2</v>
      </c>
      <c r="D194" s="128">
        <v>787</v>
      </c>
      <c r="E194" s="76">
        <f>IF(ISNUMBER(D194), (D194 - $B194) / $B194, "")</f>
        <v>-3.5539215686274508E-2</v>
      </c>
      <c r="F194" s="205">
        <f>IF(ISNUMBER(D194), $B199 * E194, "")</f>
        <v>-5330.8823529411766</v>
      </c>
      <c r="G194" s="45">
        <v>741</v>
      </c>
      <c r="H194" s="76">
        <f>IF(ISNUMBER(G194), (G194 - $B194) / $B194, "")</f>
        <v>-9.1911764705882359E-2</v>
      </c>
      <c r="I194" s="206">
        <f>IF(ISNUMBER(G194), $B199 * H194, "")</f>
        <v>-13786.764705882353</v>
      </c>
      <c r="J194" s="128">
        <v>761</v>
      </c>
      <c r="K194" s="76">
        <f>IF(ISNUMBER(J194), (J194 - $B194) / $B194, "")</f>
        <v>-6.7401960784313722E-2</v>
      </c>
      <c r="L194" s="205">
        <f>IF(ISNUMBER(J194), $B199 * K194, "")</f>
        <v>-10110.294117647058</v>
      </c>
      <c r="M194" s="45">
        <v>755</v>
      </c>
      <c r="N194" s="76">
        <f>IF(ISNUMBER(M194), (M194 - $B194) / $B194, "")</f>
        <v>-7.4754901960784312E-2</v>
      </c>
      <c r="O194" s="205">
        <f>IF(ISNUMBER(M194), $B199 * N194, "")</f>
        <v>-11213.235294117647</v>
      </c>
      <c r="Q194" s="275"/>
      <c r="R194" s="275"/>
      <c r="S194" s="275"/>
    </row>
    <row r="195" spans="1:19" ht="17.25" thickBot="1">
      <c r="A195" s="124" t="s">
        <v>188</v>
      </c>
      <c r="B195" s="125">
        <v>29350</v>
      </c>
      <c r="C195" s="73">
        <v>-9.6923076900000002E-2</v>
      </c>
      <c r="D195" s="125">
        <v>26260</v>
      </c>
      <c r="E195" s="73">
        <f t="shared" ref="E195:E198" si="106">IF(ISNUMBER(D195), (D195 - $B195) / $B195, "")</f>
        <v>-0.10528109028960818</v>
      </c>
      <c r="F195" s="136">
        <f>IF(ISNUMBER(D195), $B199 * E195, "")</f>
        <v>-15792.163543441227</v>
      </c>
      <c r="G195" s="39">
        <v>25190</v>
      </c>
      <c r="H195" s="73">
        <f t="shared" ref="H195:H198" si="107">IF(ISNUMBER(G195), (G195 - $B195) / $B195, "")</f>
        <v>-0.14173764906303238</v>
      </c>
      <c r="I195" s="202">
        <f>IF(ISNUMBER(G195), $B199 * H195, "")</f>
        <v>-21260.647359454855</v>
      </c>
      <c r="J195" s="125">
        <v>25710</v>
      </c>
      <c r="K195" s="73">
        <f t="shared" ref="K195:K198" si="108">IF(ISNUMBER(J195), (J195 - $B195) / $B195, "")</f>
        <v>-0.12402044293015332</v>
      </c>
      <c r="L195" s="136">
        <f>IF(ISNUMBER(J195), $B199 * K195, "")</f>
        <v>-18603.066439522998</v>
      </c>
      <c r="M195" s="39">
        <v>25390</v>
      </c>
      <c r="N195" s="73">
        <f t="shared" ref="N195:N198" si="109">IF(ISNUMBER(M195), (M195 - $B195) / $B195, "")</f>
        <v>-0.13492333901192505</v>
      </c>
      <c r="O195" s="136">
        <f>IF(ISNUMBER(M195), $B199 * N195, "")</f>
        <v>-20238.500851788758</v>
      </c>
      <c r="Q195" s="275"/>
      <c r="R195" s="275"/>
      <c r="S195" s="275"/>
    </row>
    <row r="196" spans="1:19" ht="17.25" thickBot="1">
      <c r="A196" s="124" t="s">
        <v>242</v>
      </c>
      <c r="B196" s="125">
        <v>10090</v>
      </c>
      <c r="C196" s="73">
        <v>-0.107079646</v>
      </c>
      <c r="D196" s="125">
        <v>8840</v>
      </c>
      <c r="E196" s="73">
        <f t="shared" si="106"/>
        <v>-0.12388503468780972</v>
      </c>
      <c r="F196" s="136">
        <f>IF(ISNUMBER(D196), $B199 * E196, "")</f>
        <v>-18582.755203171459</v>
      </c>
      <c r="G196" s="39">
        <v>8475</v>
      </c>
      <c r="H196" s="73">
        <f t="shared" si="107"/>
        <v>-0.16005946481665015</v>
      </c>
      <c r="I196" s="202">
        <f>IF(ISNUMBER(G196), $B199 * H196, "")</f>
        <v>-24008.919722497521</v>
      </c>
      <c r="J196" s="125">
        <v>8700</v>
      </c>
      <c r="K196" s="73">
        <f t="shared" si="108"/>
        <v>-0.1377601585728444</v>
      </c>
      <c r="L196" s="136">
        <f>IF(ISNUMBER(J196), $B199 * K196, "")</f>
        <v>-20664.02378592666</v>
      </c>
      <c r="M196" s="39">
        <v>8720</v>
      </c>
      <c r="N196" s="73">
        <f t="shared" si="109"/>
        <v>-0.13577799801783944</v>
      </c>
      <c r="O196" s="136">
        <f>IF(ISNUMBER(M196), $B199 * N196, "")</f>
        <v>-20366.699702675916</v>
      </c>
      <c r="Q196" s="275"/>
      <c r="R196" s="275"/>
      <c r="S196" s="275"/>
    </row>
    <row r="197" spans="1:19">
      <c r="A197" s="124" t="s">
        <v>86</v>
      </c>
      <c r="B197" s="125">
        <v>15160</v>
      </c>
      <c r="C197" s="73">
        <v>-0.1478358628</v>
      </c>
      <c r="D197" s="125">
        <v>13640</v>
      </c>
      <c r="E197" s="73">
        <f t="shared" si="106"/>
        <v>-0.10026385224274406</v>
      </c>
      <c r="F197" s="136">
        <f>IF(ISNUMBER(D197), $B199 * E197, "")</f>
        <v>-15039.577836411609</v>
      </c>
      <c r="G197" s="39">
        <v>13420</v>
      </c>
      <c r="H197" s="73">
        <f t="shared" si="107"/>
        <v>-0.11477572559366754</v>
      </c>
      <c r="I197" s="202">
        <f>IF(ISNUMBER(G197), $B199 * H197, "")</f>
        <v>-17216.358839050132</v>
      </c>
      <c r="J197" s="125">
        <v>13710</v>
      </c>
      <c r="K197" s="73">
        <f t="shared" si="108"/>
        <v>-9.5646437994722958E-2</v>
      </c>
      <c r="L197" s="136">
        <f>IF(ISNUMBER(J197), $B199 * K197, "")</f>
        <v>-14346.965699208444</v>
      </c>
      <c r="M197" s="39">
        <v>13250</v>
      </c>
      <c r="N197" s="73">
        <f t="shared" si="109"/>
        <v>-0.12598944591029024</v>
      </c>
      <c r="O197" s="136">
        <f>IF(ISNUMBER(M197), $B199 * N197, "")</f>
        <v>-18898.416886543535</v>
      </c>
      <c r="Q197" s="297"/>
      <c r="R197" s="298"/>
      <c r="S197" s="299"/>
    </row>
    <row r="198" spans="1:19" ht="17.25" thickBot="1">
      <c r="A198" s="129" t="s">
        <v>236</v>
      </c>
      <c r="B198" s="130">
        <v>83.6</v>
      </c>
      <c r="C198" s="75">
        <v>-0.17227722770000001</v>
      </c>
      <c r="D198" s="130">
        <v>74.599999999999994</v>
      </c>
      <c r="E198" s="75">
        <f t="shared" si="106"/>
        <v>-0.1076555023923445</v>
      </c>
      <c r="F198" s="137">
        <f>IF(ISNUMBER(D198), $B199 * E198, "")</f>
        <v>-16148.325358851676</v>
      </c>
      <c r="G198" s="37">
        <v>70</v>
      </c>
      <c r="H198" s="75">
        <f t="shared" si="107"/>
        <v>-0.16267942583732051</v>
      </c>
      <c r="I198" s="207">
        <f>IF(ISNUMBER(G198), $B199 * H198, "")</f>
        <v>-24401.913875598075</v>
      </c>
      <c r="J198" s="130">
        <v>72.2</v>
      </c>
      <c r="K198" s="75">
        <f t="shared" si="108"/>
        <v>-0.13636363636363627</v>
      </c>
      <c r="L198" s="137">
        <f>IF(ISNUMBER(J198), $B199 * K198, "")</f>
        <v>-20454.545454545441</v>
      </c>
      <c r="M198" s="37">
        <v>72.2</v>
      </c>
      <c r="N198" s="75">
        <f t="shared" si="109"/>
        <v>-0.13636363636363627</v>
      </c>
      <c r="O198" s="137">
        <f>IF(ISNUMBER(M198), $B199 * N198, "")</f>
        <v>-20454.545454545441</v>
      </c>
      <c r="Q198" s="300"/>
      <c r="R198" s="301"/>
      <c r="S198" s="302"/>
    </row>
    <row r="199" spans="1:19" ht="17.25" thickBot="1">
      <c r="A199" s="131" t="s">
        <v>301</v>
      </c>
      <c r="B199" s="308">
        <f>$B$37</f>
        <v>150000</v>
      </c>
      <c r="C199" s="309"/>
      <c r="D199" s="131" t="s">
        <v>302</v>
      </c>
      <c r="E199" s="223">
        <f>IF(COUNT(E179:E198), SUM(E179:E198) / COUNT(E179:E198), 0)</f>
        <v>-9.6403203385872244E-2</v>
      </c>
      <c r="F199" s="208">
        <f>SUM(F179:F198)</f>
        <v>-289209.61015761673</v>
      </c>
      <c r="G199" s="131" t="s">
        <v>302</v>
      </c>
      <c r="H199" s="223">
        <f>IF(COUNT(H179:H198), SUM(H179:H198) / COUNT(H179:H198), 0)</f>
        <v>-0.12204786744893677</v>
      </c>
      <c r="I199" s="208">
        <f>SUM(I179:I198)</f>
        <v>-366143.60234681022</v>
      </c>
      <c r="J199" s="131" t="s">
        <v>302</v>
      </c>
      <c r="K199" s="223">
        <f>IF(COUNT(K179:K198), SUM(K179:K198) / COUNT(K179:K198), 0)</f>
        <v>-0.10623448381232192</v>
      </c>
      <c r="L199" s="208">
        <f>SUM(L179:L198)</f>
        <v>-318703.45143696573</v>
      </c>
      <c r="M199" s="131" t="s">
        <v>302</v>
      </c>
      <c r="N199" s="223">
        <f>IF(COUNT(N179:N198), SUM(N179:N198) / COUNT(N179:N198), 0)</f>
        <v>-0.11073804011836061</v>
      </c>
      <c r="O199" s="208">
        <f>SUM(O179:O198)</f>
        <v>-332214.12035508174</v>
      </c>
      <c r="Q199" s="303"/>
      <c r="R199" s="304"/>
      <c r="S199" s="30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13" priority="157">
      <formula>AND($N17 &gt; 0, ISNUMBER($N17))</formula>
    </cfRule>
    <cfRule type="expression" dxfId="712" priority="158">
      <formula>AND($N17 = 0 * ISNUMBER($N17))</formula>
    </cfRule>
    <cfRule type="expression" dxfId="711" priority="159">
      <formula>AND($N17 &lt; 0, ISNUMBER($N17))</formula>
    </cfRule>
  </conditionalFormatting>
  <conditionalFormatting sqref="A17:F36">
    <cfRule type="expression" dxfId="710" priority="166">
      <formula>AND($E17 &gt; 0, ISNUMBER($E17))</formula>
    </cfRule>
    <cfRule type="expression" dxfId="709" priority="167">
      <formula>AND($E17 = 0 * ISNUMBER($E17))</formula>
    </cfRule>
    <cfRule type="expression" dxfId="708" priority="168">
      <formula>AND($E17 &lt; 0, ISNUMBER($E17))</formula>
    </cfRule>
  </conditionalFormatting>
  <conditionalFormatting sqref="A17:C36 G17:I36">
    <cfRule type="expression" dxfId="707" priority="163">
      <formula>AND($H17 &gt; 0, ISNUMBER($H17))</formula>
    </cfRule>
    <cfRule type="expression" dxfId="706" priority="164">
      <formula>AND($H17 = 0 * ISNUMBER($H17))</formula>
    </cfRule>
    <cfRule type="expression" dxfId="705" priority="165">
      <formula>AND($H17 &lt; 0, ISNUMBER($H17))</formula>
    </cfRule>
  </conditionalFormatting>
  <conditionalFormatting sqref="A17:C36 J17:L36">
    <cfRule type="expression" dxfId="704" priority="160">
      <formula>AND($K17 &gt; 0, ISNUMBER($K17))</formula>
    </cfRule>
    <cfRule type="expression" dxfId="703" priority="161">
      <formula>AND($K17 = 0 * ISNUMBER($K17))</formula>
    </cfRule>
    <cfRule type="expression" dxfId="702" priority="162">
      <formula>AND($K17 &lt; 0, ISNUMBER($K17))</formula>
    </cfRule>
  </conditionalFormatting>
  <conditionalFormatting sqref="D15:F16 E37:F37">
    <cfRule type="expression" dxfId="701" priority="154">
      <formula>$E$37 &gt; 0</formula>
    </cfRule>
    <cfRule type="expression" dxfId="700" priority="155">
      <formula>$E$37 = 0</formula>
    </cfRule>
    <cfRule type="expression" dxfId="699" priority="156">
      <formula>$E$37 &lt; 0</formula>
    </cfRule>
  </conditionalFormatting>
  <conditionalFormatting sqref="G15:I16 H37:I37">
    <cfRule type="expression" dxfId="698" priority="151">
      <formula>$H$37 &gt; 0</formula>
    </cfRule>
    <cfRule type="expression" dxfId="697" priority="152">
      <formula>$H$37 = 0</formula>
    </cfRule>
    <cfRule type="expression" dxfId="696" priority="153">
      <formula>$H$37 &lt; 0</formula>
    </cfRule>
  </conditionalFormatting>
  <conditionalFormatting sqref="J15:L16 K37:L37">
    <cfRule type="expression" dxfId="695" priority="148">
      <formula>$K$37 &gt; 0</formula>
    </cfRule>
    <cfRule type="expression" dxfId="694" priority="149">
      <formula>$K$37 = 0</formula>
    </cfRule>
    <cfRule type="expression" dxfId="693" priority="150">
      <formula>$K$37 &lt; 0</formula>
    </cfRule>
  </conditionalFormatting>
  <conditionalFormatting sqref="M15:O16 N37:O37">
    <cfRule type="expression" dxfId="692" priority="145">
      <formula>$N$37 &gt; 0</formula>
    </cfRule>
    <cfRule type="expression" dxfId="691" priority="146">
      <formula>$N$37 = 0</formula>
    </cfRule>
    <cfRule type="expression" dxfId="690" priority="147">
      <formula>$N$37 &lt; 0</formula>
    </cfRule>
  </conditionalFormatting>
  <conditionalFormatting sqref="A44:C63 M44:O63">
    <cfRule type="expression" dxfId="689" priority="133">
      <formula>AND($N44 &gt; 0, ISNUMBER($N44))</formula>
    </cfRule>
    <cfRule type="expression" dxfId="688" priority="134">
      <formula>AND($N44 = 0 * ISNUMBER($N44))</formula>
    </cfRule>
    <cfRule type="expression" dxfId="687" priority="135">
      <formula>AND($N44 &lt; 0, ISNUMBER($N44))</formula>
    </cfRule>
  </conditionalFormatting>
  <conditionalFormatting sqref="A44:F63">
    <cfRule type="expression" dxfId="686" priority="142">
      <formula>AND($E44 &gt; 0, ISNUMBER($E44))</formula>
    </cfRule>
    <cfRule type="expression" dxfId="685" priority="143">
      <formula>AND($E44 = 0 * ISNUMBER($E44))</formula>
    </cfRule>
    <cfRule type="expression" dxfId="684" priority="144">
      <formula>AND($E44 &lt; 0, ISNUMBER($E44))</formula>
    </cfRule>
  </conditionalFormatting>
  <conditionalFormatting sqref="A44:C63 G44:I63">
    <cfRule type="expression" dxfId="683" priority="139">
      <formula>AND($H44 &gt; 0, ISNUMBER($H44))</formula>
    </cfRule>
    <cfRule type="expression" dxfId="682" priority="140">
      <formula>AND($H44 = 0 * ISNUMBER($H44))</formula>
    </cfRule>
    <cfRule type="expression" dxfId="681" priority="141">
      <formula>AND($H44 &lt; 0, ISNUMBER($H44))</formula>
    </cfRule>
  </conditionalFormatting>
  <conditionalFormatting sqref="A44:C63 J44:L63">
    <cfRule type="expression" dxfId="680" priority="136">
      <formula>AND($K44 &gt; 0, ISNUMBER($K44))</formula>
    </cfRule>
    <cfRule type="expression" dxfId="679" priority="137">
      <formula>AND($K44 = 0 * ISNUMBER($K44))</formula>
    </cfRule>
    <cfRule type="expression" dxfId="678" priority="138">
      <formula>AND($K44 &lt; 0, ISNUMBER($K44))</formula>
    </cfRule>
  </conditionalFormatting>
  <conditionalFormatting sqref="D42:F43 E64:F64">
    <cfRule type="expression" dxfId="677" priority="130">
      <formula>$E$64 &gt; 0</formula>
    </cfRule>
    <cfRule type="expression" dxfId="676" priority="131">
      <formula>$E$64 = 0</formula>
    </cfRule>
    <cfRule type="expression" dxfId="675" priority="132">
      <formula>$E$64 &lt; 0</formula>
    </cfRule>
  </conditionalFormatting>
  <conditionalFormatting sqref="G42:I43 H64:I64">
    <cfRule type="expression" dxfId="674" priority="127">
      <formula>$H$64 &gt; 0</formula>
    </cfRule>
    <cfRule type="expression" dxfId="673" priority="128">
      <formula>$H$64 = 0</formula>
    </cfRule>
    <cfRule type="expression" dxfId="672" priority="129">
      <formula>$H$64 &lt; 0</formula>
    </cfRule>
  </conditionalFormatting>
  <conditionalFormatting sqref="J42:L43 K64:L64">
    <cfRule type="expression" dxfId="671" priority="124">
      <formula>$K$64 &gt; 0</formula>
    </cfRule>
    <cfRule type="expression" dxfId="670" priority="125">
      <formula>$K$64 = 0</formula>
    </cfRule>
    <cfRule type="expression" dxfId="669" priority="126">
      <formula>$K$64 &lt; 0</formula>
    </cfRule>
  </conditionalFormatting>
  <conditionalFormatting sqref="M42:O43 N64:O64">
    <cfRule type="expression" dxfId="668" priority="121">
      <formula>$N$64 &gt; 0</formula>
    </cfRule>
    <cfRule type="expression" dxfId="667" priority="122">
      <formula>$N$64 = 0</formula>
    </cfRule>
    <cfRule type="expression" dxfId="666" priority="123">
      <formula>$N$64 &lt; 0</formula>
    </cfRule>
  </conditionalFormatting>
  <conditionalFormatting sqref="A71:C90 M71:O90">
    <cfRule type="expression" dxfId="665" priority="109">
      <formula>AND($N71 &gt; 0, ISNUMBER($N71))</formula>
    </cfRule>
    <cfRule type="expression" dxfId="664" priority="110">
      <formula>AND($N71 = 0 * ISNUMBER($N71))</formula>
    </cfRule>
    <cfRule type="expression" dxfId="663" priority="111">
      <formula>AND($N71 &lt; 0, ISNUMBER($N71))</formula>
    </cfRule>
  </conditionalFormatting>
  <conditionalFormatting sqref="A71:F90">
    <cfRule type="expression" dxfId="662" priority="118">
      <formula>AND($E71 &gt; 0, ISNUMBER($E71))</formula>
    </cfRule>
    <cfRule type="expression" dxfId="661" priority="119">
      <formula>AND($E71 = 0 * ISNUMBER($E71))</formula>
    </cfRule>
    <cfRule type="expression" dxfId="660" priority="120">
      <formula>AND($E71 &lt; 0, ISNUMBER($E71))</formula>
    </cfRule>
  </conditionalFormatting>
  <conditionalFormatting sqref="A71:C90 G71:I90">
    <cfRule type="expression" dxfId="659" priority="115">
      <formula>AND($H71 &gt; 0, ISNUMBER($H71))</formula>
    </cfRule>
    <cfRule type="expression" dxfId="658" priority="116">
      <formula>AND($H71 = 0 * ISNUMBER($H71))</formula>
    </cfRule>
    <cfRule type="expression" dxfId="657" priority="117">
      <formula>AND($H71 &lt; 0, ISNUMBER($H71))</formula>
    </cfRule>
  </conditionalFormatting>
  <conditionalFormatting sqref="A71:C90 J71:L90">
    <cfRule type="expression" dxfId="656" priority="112">
      <formula>AND($K71 &gt; 0, ISNUMBER($K71))</formula>
    </cfRule>
    <cfRule type="expression" dxfId="655" priority="113">
      <formula>AND($K71 = 0 * ISNUMBER($K71))</formula>
    </cfRule>
    <cfRule type="expression" dxfId="654" priority="114">
      <formula>AND($K71 &lt; 0, ISNUMBER($K71))</formula>
    </cfRule>
  </conditionalFormatting>
  <conditionalFormatting sqref="D69:F70 E91:F91">
    <cfRule type="expression" dxfId="653" priority="106">
      <formula>$E$91 &gt; 0</formula>
    </cfRule>
    <cfRule type="expression" dxfId="652" priority="107">
      <formula>$E$91 = 0</formula>
    </cfRule>
    <cfRule type="expression" dxfId="651" priority="108">
      <formula>$E$91 &lt; 0</formula>
    </cfRule>
  </conditionalFormatting>
  <conditionalFormatting sqref="G69:I70 H91:I91">
    <cfRule type="expression" dxfId="650" priority="103">
      <formula>$H$91 &gt; 0</formula>
    </cfRule>
    <cfRule type="expression" dxfId="649" priority="104">
      <formula>$H$91 = 0</formula>
    </cfRule>
    <cfRule type="expression" dxfId="648" priority="105">
      <formula>$H$91 &lt; 0</formula>
    </cfRule>
  </conditionalFormatting>
  <conditionalFormatting sqref="J69:L70 K91:L91">
    <cfRule type="expression" dxfId="647" priority="100">
      <formula>$K$91 &gt; 0</formula>
    </cfRule>
    <cfRule type="expression" dxfId="646" priority="101">
      <formula>$K$91 = 0</formula>
    </cfRule>
    <cfRule type="expression" dxfId="645" priority="102">
      <formula>$K$91 &lt; 0</formula>
    </cfRule>
  </conditionalFormatting>
  <conditionalFormatting sqref="M69:O70 N91:O91">
    <cfRule type="expression" dxfId="644" priority="97">
      <formula>$N$91 &gt; 0</formula>
    </cfRule>
    <cfRule type="expression" dxfId="643" priority="98">
      <formula>$N$91 = 0</formula>
    </cfRule>
    <cfRule type="expression" dxfId="642" priority="99">
      <formula>$N$91 &lt; 0</formula>
    </cfRule>
  </conditionalFormatting>
  <conditionalFormatting sqref="A98:C117 M98:O117">
    <cfRule type="expression" dxfId="641" priority="85">
      <formula>AND($N98 &gt; 0, ISNUMBER($N98))</formula>
    </cfRule>
    <cfRule type="expression" dxfId="640" priority="86">
      <formula>AND($N98 = 0 * ISNUMBER($N98))</formula>
    </cfRule>
    <cfRule type="expression" dxfId="639" priority="87">
      <formula>AND($N98 &lt; 0, ISNUMBER($N98))</formula>
    </cfRule>
  </conditionalFormatting>
  <conditionalFormatting sqref="A98:F117">
    <cfRule type="expression" dxfId="638" priority="94">
      <formula>AND($E98 &gt; 0, ISNUMBER($E98))</formula>
    </cfRule>
    <cfRule type="expression" dxfId="637" priority="95">
      <formula>AND($E98 = 0 * ISNUMBER($E98))</formula>
    </cfRule>
    <cfRule type="expression" dxfId="636" priority="96">
      <formula>AND($E98 &lt; 0, ISNUMBER($E98))</formula>
    </cfRule>
  </conditionalFormatting>
  <conditionalFormatting sqref="A98:C117 G98:I117">
    <cfRule type="expression" dxfId="635" priority="91">
      <formula>AND($H98 &gt; 0, ISNUMBER($H98))</formula>
    </cfRule>
    <cfRule type="expression" dxfId="634" priority="92">
      <formula>AND($H98 = 0 * ISNUMBER($H98))</formula>
    </cfRule>
    <cfRule type="expression" dxfId="633" priority="93">
      <formula>AND($H98 &lt; 0, ISNUMBER($H98))</formula>
    </cfRule>
  </conditionalFormatting>
  <conditionalFormatting sqref="A98:C117 J98:L117">
    <cfRule type="expression" dxfId="632" priority="88">
      <formula>AND($K98 &gt; 0, ISNUMBER($K98))</formula>
    </cfRule>
    <cfRule type="expression" dxfId="631" priority="89">
      <formula>AND($K98 = 0 * ISNUMBER($K98))</formula>
    </cfRule>
    <cfRule type="expression" dxfId="630" priority="90">
      <formula>AND($K98 &lt; 0, ISNUMBER($K98))</formula>
    </cfRule>
  </conditionalFormatting>
  <conditionalFormatting sqref="D96:F97 E118:F118">
    <cfRule type="expression" dxfId="629" priority="82">
      <formula>$E$118 &gt; 0</formula>
    </cfRule>
    <cfRule type="expression" dxfId="628" priority="83">
      <formula>$E$118 = 0</formula>
    </cfRule>
    <cfRule type="expression" dxfId="627" priority="84">
      <formula>$E$118 &lt; 0</formula>
    </cfRule>
  </conditionalFormatting>
  <conditionalFormatting sqref="G96:I97 H118:I118">
    <cfRule type="expression" dxfId="626" priority="79">
      <formula>$H$118 &gt; 0</formula>
    </cfRule>
    <cfRule type="expression" dxfId="625" priority="80">
      <formula>$H$118 = 0</formula>
    </cfRule>
    <cfRule type="expression" dxfId="624" priority="81">
      <formula>$H$118 &lt; 0</formula>
    </cfRule>
  </conditionalFormatting>
  <conditionalFormatting sqref="J96:L97 K118:L118">
    <cfRule type="expression" dxfId="623" priority="76">
      <formula>$K$118 &gt; 0</formula>
    </cfRule>
    <cfRule type="expression" dxfId="622" priority="77">
      <formula>$K$118 = 0</formula>
    </cfRule>
    <cfRule type="expression" dxfId="621" priority="78">
      <formula>$K$118 &lt; 0</formula>
    </cfRule>
  </conditionalFormatting>
  <conditionalFormatting sqref="M96:O97 N118:O118">
    <cfRule type="expression" dxfId="620" priority="73">
      <formula>$N$118 &gt; 0</formula>
    </cfRule>
    <cfRule type="expression" dxfId="619" priority="74">
      <formula>$N$118 = 0</formula>
    </cfRule>
    <cfRule type="expression" dxfId="618" priority="75">
      <formula>$N$118 &lt; 0</formula>
    </cfRule>
  </conditionalFormatting>
  <conditionalFormatting sqref="A125:C144 M125:O144">
    <cfRule type="expression" dxfId="617" priority="61">
      <formula>AND($N125 &gt; 0, ISNUMBER($N125))</formula>
    </cfRule>
    <cfRule type="expression" dxfId="616" priority="62">
      <formula>AND($N125 = 0 * ISNUMBER($N125))</formula>
    </cfRule>
    <cfRule type="expression" dxfId="615" priority="63">
      <formula>AND($N125 &lt; 0, ISNUMBER($N125))</formula>
    </cfRule>
  </conditionalFormatting>
  <conditionalFormatting sqref="A125:F144">
    <cfRule type="expression" dxfId="614" priority="70">
      <formula>AND($E125 &gt; 0, ISNUMBER($E125))</formula>
    </cfRule>
    <cfRule type="expression" dxfId="613" priority="71">
      <formula>AND($E125 = 0 * ISNUMBER($E125))</formula>
    </cfRule>
    <cfRule type="expression" dxfId="612" priority="72">
      <formula>AND($E125 &lt; 0, ISNUMBER($E125))</formula>
    </cfRule>
  </conditionalFormatting>
  <conditionalFormatting sqref="A125:C144 G125:I144">
    <cfRule type="expression" dxfId="611" priority="67">
      <formula>AND($H125 &gt; 0, ISNUMBER($H125))</formula>
    </cfRule>
    <cfRule type="expression" dxfId="610" priority="68">
      <formula>AND($H125 = 0 * ISNUMBER($H125))</formula>
    </cfRule>
    <cfRule type="expression" dxfId="609" priority="69">
      <formula>AND($H125 &lt; 0, ISNUMBER($H125))</formula>
    </cfRule>
  </conditionalFormatting>
  <conditionalFormatting sqref="A125:C144 J125:L144">
    <cfRule type="expression" dxfId="608" priority="64">
      <formula>AND($K125 &gt; 0, ISNUMBER($K125))</formula>
    </cfRule>
    <cfRule type="expression" dxfId="607" priority="65">
      <formula>AND($K125 = 0 * ISNUMBER($K125))</formula>
    </cfRule>
    <cfRule type="expression" dxfId="606" priority="66">
      <formula>AND($K125 &lt; 0, ISNUMBER($K125))</formula>
    </cfRule>
  </conditionalFormatting>
  <conditionalFormatting sqref="D123:F124 E145:F145">
    <cfRule type="expression" dxfId="605" priority="58">
      <formula>$E$145 &gt; 0</formula>
    </cfRule>
    <cfRule type="expression" dxfId="604" priority="59">
      <formula>$E$145 = 0</formula>
    </cfRule>
    <cfRule type="expression" dxfId="603" priority="60">
      <formula>$E$145 &lt; 0</formula>
    </cfRule>
  </conditionalFormatting>
  <conditionalFormatting sqref="G123:I124 H145:I145">
    <cfRule type="expression" dxfId="602" priority="55">
      <formula>$H$145 &gt; 0</formula>
    </cfRule>
    <cfRule type="expression" dxfId="601" priority="56">
      <formula>$H$145 = 0</formula>
    </cfRule>
    <cfRule type="expression" dxfId="600" priority="57">
      <formula>$H$145 &lt; 0</formula>
    </cfRule>
  </conditionalFormatting>
  <conditionalFormatting sqref="J123:L124 K145:L145">
    <cfRule type="expression" dxfId="599" priority="52">
      <formula>$K$145 &gt; 0</formula>
    </cfRule>
    <cfRule type="expression" dxfId="598" priority="53">
      <formula>$K$145 = 0</formula>
    </cfRule>
    <cfRule type="expression" dxfId="597" priority="54">
      <formula>$K$145 &lt; 0</formula>
    </cfRule>
  </conditionalFormatting>
  <conditionalFormatting sqref="M123:O124 N145:O145">
    <cfRule type="expression" dxfId="596" priority="49">
      <formula>$N$145 &gt; 0</formula>
    </cfRule>
    <cfRule type="expression" dxfId="595" priority="50">
      <formula>$N$145 = 0</formula>
    </cfRule>
    <cfRule type="expression" dxfId="594" priority="51">
      <formula>$N$145 &lt; 0</formula>
    </cfRule>
  </conditionalFormatting>
  <conditionalFormatting sqref="A152:C171 M152:O171">
    <cfRule type="expression" dxfId="593" priority="37">
      <formula>AND($N152 &gt; 0, ISNUMBER($N152))</formula>
    </cfRule>
    <cfRule type="expression" dxfId="592" priority="38">
      <formula>AND($N152 = 0 * ISNUMBER($N152))</formula>
    </cfRule>
    <cfRule type="expression" dxfId="591" priority="39">
      <formula>AND($N152 &lt; 0, ISNUMBER($N152))</formula>
    </cfRule>
  </conditionalFormatting>
  <conditionalFormatting sqref="A152:F171">
    <cfRule type="expression" dxfId="590" priority="46">
      <formula>AND($E152 &gt; 0, ISNUMBER($E152))</formula>
    </cfRule>
    <cfRule type="expression" dxfId="589" priority="47">
      <formula>AND($E152 = 0 * ISNUMBER($E152))</formula>
    </cfRule>
    <cfRule type="expression" dxfId="588" priority="48">
      <formula>AND($E152 &lt; 0, ISNUMBER($E152))</formula>
    </cfRule>
  </conditionalFormatting>
  <conditionalFormatting sqref="A152:C171 G152:I171">
    <cfRule type="expression" dxfId="587" priority="43">
      <formula>AND($H152 &gt; 0, ISNUMBER($H152))</formula>
    </cfRule>
    <cfRule type="expression" dxfId="586" priority="44">
      <formula>AND($H152 = 0 * ISNUMBER($H152))</formula>
    </cfRule>
    <cfRule type="expression" dxfId="585" priority="45">
      <formula>AND($H152 &lt; 0, ISNUMBER($H152))</formula>
    </cfRule>
  </conditionalFormatting>
  <conditionalFormatting sqref="A152:C171 J152:L171">
    <cfRule type="expression" dxfId="584" priority="40">
      <formula>AND($K152 &gt; 0, ISNUMBER($K152))</formula>
    </cfRule>
    <cfRule type="expression" dxfId="583" priority="41">
      <formula>AND($K152 = 0 * ISNUMBER($K152))</formula>
    </cfRule>
    <cfRule type="expression" dxfId="582" priority="42">
      <formula>AND($K152 &lt; 0, ISNUMBER($K152))</formula>
    </cfRule>
  </conditionalFormatting>
  <conditionalFormatting sqref="D150:F151 E172:F172">
    <cfRule type="expression" dxfId="581" priority="34">
      <formula>$E$172 &gt; 0</formula>
    </cfRule>
    <cfRule type="expression" dxfId="580" priority="35">
      <formula>$E$172 = 0</formula>
    </cfRule>
    <cfRule type="expression" dxfId="579" priority="36">
      <formula>$E$172 &lt; 0</formula>
    </cfRule>
  </conditionalFormatting>
  <conditionalFormatting sqref="G150:I151 H172:I172">
    <cfRule type="expression" dxfId="578" priority="31">
      <formula>$H$172 &gt; 0</formula>
    </cfRule>
    <cfRule type="expression" dxfId="577" priority="32">
      <formula>$H$172 = 0</formula>
    </cfRule>
    <cfRule type="expression" dxfId="576" priority="33">
      <formula>$H$172 &lt; 0</formula>
    </cfRule>
  </conditionalFormatting>
  <conditionalFormatting sqref="J150:L151 K172:L172">
    <cfRule type="expression" dxfId="575" priority="28">
      <formula>$K$172 &gt; 0</formula>
    </cfRule>
    <cfRule type="expression" dxfId="574" priority="29">
      <formula>$K$172 = 0</formula>
    </cfRule>
    <cfRule type="expression" dxfId="573" priority="30">
      <formula>$K$172 &lt; 0</formula>
    </cfRule>
  </conditionalFormatting>
  <conditionalFormatting sqref="M150:O151 N172:O172">
    <cfRule type="expression" dxfId="572" priority="25">
      <formula>$N$172 &gt; 0</formula>
    </cfRule>
    <cfRule type="expression" dxfId="571" priority="26">
      <formula>$N$172 = 0</formula>
    </cfRule>
    <cfRule type="expression" dxfId="570" priority="27">
      <formula>$N$172 &lt; 0</formula>
    </cfRule>
  </conditionalFormatting>
  <conditionalFormatting sqref="A179:C198 M179:O198">
    <cfRule type="expression" dxfId="569" priority="13">
      <formula>AND($N179 &gt; 0, ISNUMBER($N179))</formula>
    </cfRule>
    <cfRule type="expression" dxfId="568" priority="14">
      <formula>AND($N179 = 0 * ISNUMBER($N179))</formula>
    </cfRule>
    <cfRule type="expression" dxfId="567" priority="15">
      <formula>AND($N179 &lt; 0, ISNUMBER($N179))</formula>
    </cfRule>
  </conditionalFormatting>
  <conditionalFormatting sqref="A179:F198">
    <cfRule type="expression" dxfId="566" priority="22">
      <formula>AND($E179 &gt; 0, ISNUMBER($E179))</formula>
    </cfRule>
    <cfRule type="expression" dxfId="565" priority="23">
      <formula>AND($E179 = 0 * ISNUMBER($E179))</formula>
    </cfRule>
    <cfRule type="expression" dxfId="564" priority="24">
      <formula>AND($E179 &lt; 0, ISNUMBER($E179))</formula>
    </cfRule>
  </conditionalFormatting>
  <conditionalFormatting sqref="A179:C198 G179:I198">
    <cfRule type="expression" dxfId="563" priority="19">
      <formula>AND($H179 &gt; 0, ISNUMBER($H179))</formula>
    </cfRule>
    <cfRule type="expression" dxfId="562" priority="20">
      <formula>AND($H179 = 0 * ISNUMBER($H179))</formula>
    </cfRule>
    <cfRule type="expression" dxfId="561" priority="21">
      <formula>AND($H179 &lt; 0, ISNUMBER($H179))</formula>
    </cfRule>
  </conditionalFormatting>
  <conditionalFormatting sqref="A179:C198 J179:L198">
    <cfRule type="expression" dxfId="560" priority="16">
      <formula>AND($K179 &gt; 0, ISNUMBER($K179))</formula>
    </cfRule>
    <cfRule type="expression" dxfId="559" priority="17">
      <formula>AND($K179 = 0 * ISNUMBER($K179))</formula>
    </cfRule>
    <cfRule type="expression" dxfId="558" priority="18">
      <formula>AND($K179 &lt; 0, ISNUMBER($K179))</formula>
    </cfRule>
  </conditionalFormatting>
  <conditionalFormatting sqref="D177:F178 E199:F199">
    <cfRule type="expression" dxfId="557" priority="10">
      <formula>$E$199 &gt; 0</formula>
    </cfRule>
    <cfRule type="expression" dxfId="556" priority="11">
      <formula>$E$199 = 0</formula>
    </cfRule>
    <cfRule type="expression" dxfId="555" priority="12">
      <formula>$E$199 &lt; 0</formula>
    </cfRule>
  </conditionalFormatting>
  <conditionalFormatting sqref="G177:I178 H199:I199">
    <cfRule type="expression" dxfId="554" priority="7">
      <formula>$H$199 &gt; 0</formula>
    </cfRule>
    <cfRule type="expression" dxfId="553" priority="8">
      <formula>$H$199 = 0</formula>
    </cfRule>
    <cfRule type="expression" dxfId="552" priority="9">
      <formula>$H$199 &lt; 0</formula>
    </cfRule>
  </conditionalFormatting>
  <conditionalFormatting sqref="J177:L178 K199:L199">
    <cfRule type="expression" dxfId="551" priority="4">
      <formula>$K$199 &gt; 0</formula>
    </cfRule>
    <cfRule type="expression" dxfId="550" priority="5">
      <formula>$K$199 = 0</formula>
    </cfRule>
    <cfRule type="expression" dxfId="549" priority="6">
      <formula>$K$199 &lt; 0</formula>
    </cfRule>
  </conditionalFormatting>
  <conditionalFormatting sqref="M177:O178 N199:O199">
    <cfRule type="expression" dxfId="548" priority="1">
      <formula>$N$199 &gt; 0</formula>
    </cfRule>
    <cfRule type="expression" dxfId="547" priority="2">
      <formula>$N$199 = 0</formula>
    </cfRule>
    <cfRule type="expression" dxfId="5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52AB3-FC14-4090-8F62-3909D65AD5CA}">
  <sheetPr codeName="Sheet20"/>
  <dimension ref="A1:S199"/>
  <sheetViews>
    <sheetView topLeftCell="A9" zoomScaleNormal="100" workbookViewId="0">
      <selection activeCell="A17" sqref="A17:A36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4.37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49" t="s">
        <v>0</v>
      </c>
      <c r="B1" s="250"/>
      <c r="C1" s="250"/>
      <c r="D1" s="250"/>
      <c r="E1" s="250"/>
      <c r="F1" s="251"/>
      <c r="G1" s="252">
        <v>44330</v>
      </c>
      <c r="H1" s="253"/>
      <c r="I1" s="254"/>
      <c r="J1" s="249" t="s">
        <v>1</v>
      </c>
      <c r="K1" s="250"/>
      <c r="L1" s="250"/>
      <c r="M1" s="250"/>
      <c r="N1" s="250"/>
      <c r="O1" s="251"/>
      <c r="Q1" s="249" t="s">
        <v>2</v>
      </c>
      <c r="R1" s="251"/>
    </row>
    <row r="2" spans="1:19" ht="17.25" customHeight="1">
      <c r="A2" s="116" t="s">
        <v>3</v>
      </c>
      <c r="B2" s="323" t="s">
        <v>8</v>
      </c>
      <c r="C2" s="324"/>
      <c r="D2" s="324"/>
      <c r="E2" s="324"/>
      <c r="F2" s="325"/>
      <c r="G2" s="258" t="s">
        <v>46</v>
      </c>
      <c r="H2" s="259"/>
      <c r="I2" s="260"/>
      <c r="J2" s="116" t="s">
        <v>3</v>
      </c>
      <c r="K2" s="323" t="s">
        <v>376</v>
      </c>
      <c r="L2" s="324"/>
      <c r="M2" s="324"/>
      <c r="N2" s="324"/>
      <c r="O2" s="325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20" t="s">
        <v>384</v>
      </c>
      <c r="C3" s="321"/>
      <c r="D3" s="321"/>
      <c r="E3" s="321"/>
      <c r="F3" s="322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84,497 KRW (2.82%)</v>
      </c>
      <c r="H3" s="265"/>
      <c r="I3" s="266"/>
      <c r="J3" s="117" t="s">
        <v>7</v>
      </c>
      <c r="K3" s="320" t="s">
        <v>377</v>
      </c>
      <c r="L3" s="321"/>
      <c r="M3" s="321"/>
      <c r="N3" s="321"/>
      <c r="O3" s="322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20" t="s">
        <v>16</v>
      </c>
      <c r="C4" s="321"/>
      <c r="D4" s="321"/>
      <c r="E4" s="321"/>
      <c r="F4" s="322"/>
      <c r="G4" s="258" t="s">
        <v>44</v>
      </c>
      <c r="H4" s="259"/>
      <c r="I4" s="260"/>
      <c r="J4" s="117" t="s">
        <v>11</v>
      </c>
      <c r="K4" s="320" t="s">
        <v>378</v>
      </c>
      <c r="L4" s="321"/>
      <c r="M4" s="321"/>
      <c r="N4" s="321"/>
      <c r="O4" s="322"/>
      <c r="Q4" s="229" t="s">
        <v>14</v>
      </c>
      <c r="R4" s="198">
        <v>0.95833333333333337</v>
      </c>
    </row>
    <row r="5" spans="1:19" ht="17.25" customHeight="1" thickBot="1">
      <c r="A5" s="117" t="s">
        <v>15</v>
      </c>
      <c r="B5" s="320" t="s">
        <v>374</v>
      </c>
      <c r="C5" s="321"/>
      <c r="D5" s="321"/>
      <c r="E5" s="321"/>
      <c r="F5" s="322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63,736 KRW (2.12%)</v>
      </c>
      <c r="H5" s="265"/>
      <c r="I5" s="266"/>
      <c r="J5" s="117" t="s">
        <v>15</v>
      </c>
      <c r="K5" s="320" t="s">
        <v>379</v>
      </c>
      <c r="L5" s="321"/>
      <c r="M5" s="321"/>
      <c r="N5" s="321"/>
      <c r="O5" s="322"/>
    </row>
    <row r="6" spans="1:19">
      <c r="A6" s="117" t="s">
        <v>18</v>
      </c>
      <c r="B6" s="320"/>
      <c r="C6" s="321"/>
      <c r="D6" s="321"/>
      <c r="E6" s="321"/>
      <c r="F6" s="322"/>
      <c r="G6" s="258" t="s">
        <v>45</v>
      </c>
      <c r="H6" s="259"/>
      <c r="I6" s="260"/>
      <c r="J6" s="117" t="s">
        <v>18</v>
      </c>
      <c r="K6" s="320" t="s">
        <v>380</v>
      </c>
      <c r="L6" s="321"/>
      <c r="M6" s="321"/>
      <c r="N6" s="321"/>
      <c r="O6" s="322"/>
    </row>
    <row r="7" spans="1:19" ht="17.25" thickBot="1">
      <c r="A7" s="117" t="s">
        <v>21</v>
      </c>
      <c r="B7" s="320"/>
      <c r="C7" s="321"/>
      <c r="D7" s="321"/>
      <c r="E7" s="321"/>
      <c r="F7" s="322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121,487 KRW (4.05%)</v>
      </c>
      <c r="H7" s="265"/>
      <c r="I7" s="266"/>
      <c r="J7" s="117" t="s">
        <v>21</v>
      </c>
      <c r="K7" s="320" t="s">
        <v>381</v>
      </c>
      <c r="L7" s="321"/>
      <c r="M7" s="321"/>
      <c r="N7" s="321"/>
      <c r="O7" s="322"/>
    </row>
    <row r="8" spans="1:19" ht="17.25" thickBot="1">
      <c r="A8" s="117" t="s">
        <v>24</v>
      </c>
      <c r="B8" s="320"/>
      <c r="C8" s="321"/>
      <c r="D8" s="321"/>
      <c r="E8" s="321"/>
      <c r="F8" s="322"/>
      <c r="G8" s="258" t="s">
        <v>285</v>
      </c>
      <c r="H8" s="259"/>
      <c r="I8" s="260"/>
      <c r="J8" s="117" t="s">
        <v>24</v>
      </c>
      <c r="K8" s="320"/>
      <c r="L8" s="321"/>
      <c r="M8" s="321"/>
      <c r="N8" s="321"/>
      <c r="O8" s="322"/>
      <c r="Q8" s="249" t="s">
        <v>27</v>
      </c>
      <c r="R8" s="251"/>
    </row>
    <row r="9" spans="1:19" ht="17.25" thickBot="1">
      <c r="A9" s="117" t="s">
        <v>28</v>
      </c>
      <c r="B9" s="320"/>
      <c r="C9" s="321"/>
      <c r="D9" s="321"/>
      <c r="E9" s="321"/>
      <c r="F9" s="322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55,930 KRW (1.86%)</v>
      </c>
      <c r="H9" s="265"/>
      <c r="I9" s="266"/>
      <c r="J9" s="117" t="s">
        <v>28</v>
      </c>
      <c r="K9" s="320"/>
      <c r="L9" s="321"/>
      <c r="M9" s="321"/>
      <c r="N9" s="321"/>
      <c r="O9" s="322"/>
      <c r="Q9" s="120" t="s">
        <v>29</v>
      </c>
      <c r="R9" s="199">
        <v>10</v>
      </c>
    </row>
    <row r="10" spans="1:19">
      <c r="A10" s="117" t="s">
        <v>30</v>
      </c>
      <c r="B10" s="320"/>
      <c r="C10" s="321"/>
      <c r="D10" s="321"/>
      <c r="E10" s="321"/>
      <c r="F10" s="322"/>
      <c r="G10" s="258" t="s">
        <v>47</v>
      </c>
      <c r="H10" s="259"/>
      <c r="I10" s="260"/>
      <c r="J10" s="117" t="s">
        <v>30</v>
      </c>
      <c r="K10" s="320" t="s">
        <v>382</v>
      </c>
      <c r="L10" s="321"/>
      <c r="M10" s="321"/>
      <c r="N10" s="321"/>
      <c r="O10" s="322"/>
      <c r="Q10" s="120" t="s">
        <v>31</v>
      </c>
      <c r="R10" s="199">
        <v>100</v>
      </c>
    </row>
    <row r="11" spans="1:19" ht="17.25" thickBot="1">
      <c r="A11" s="118" t="s">
        <v>32</v>
      </c>
      <c r="B11" s="317" t="s">
        <v>383</v>
      </c>
      <c r="C11" s="318"/>
      <c r="D11" s="318"/>
      <c r="E11" s="318"/>
      <c r="F11" s="319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55,845 KRW (1.86%)</v>
      </c>
      <c r="H11" s="265"/>
      <c r="I11" s="266"/>
      <c r="J11" s="118" t="s">
        <v>32</v>
      </c>
      <c r="K11" s="317" t="s">
        <v>373</v>
      </c>
      <c r="L11" s="318"/>
      <c r="M11" s="318"/>
      <c r="N11" s="318"/>
      <c r="O11" s="319"/>
      <c r="Q11" s="229" t="s">
        <v>33</v>
      </c>
      <c r="R11" s="200">
        <v>1000</v>
      </c>
    </row>
    <row r="12" spans="1:19" ht="17.25" thickBot="1"/>
    <row r="13" spans="1:19" ht="17.25" customHeight="1" thickBot="1">
      <c r="A13" s="249" t="s">
        <v>34</v>
      </c>
      <c r="B13" s="250"/>
      <c r="C13" s="250"/>
      <c r="D13" s="250"/>
      <c r="E13" s="250"/>
      <c r="F13" s="250"/>
      <c r="G13" s="250"/>
      <c r="H13" s="250"/>
      <c r="I13" s="250"/>
      <c r="J13" s="250"/>
      <c r="K13" s="250"/>
      <c r="L13" s="250"/>
      <c r="M13" s="250"/>
      <c r="N13" s="250"/>
      <c r="O13" s="251"/>
      <c r="Q13" s="270"/>
      <c r="R13" s="270"/>
      <c r="S13" s="270"/>
    </row>
    <row r="14" spans="1:19" ht="17.25" customHeight="1" thickBot="1">
      <c r="A14" s="225" t="s">
        <v>35</v>
      </c>
      <c r="B14" s="249" t="s">
        <v>36</v>
      </c>
      <c r="C14" s="251"/>
      <c r="D14" s="249" t="s">
        <v>37</v>
      </c>
      <c r="E14" s="250"/>
      <c r="F14" s="251"/>
      <c r="G14" s="276">
        <f>_xlfn.IFNA(VLOOKUP(B14, 현재가테이블!$B$2:$D$200, 2, FALSE), "-")</f>
        <v>60874000</v>
      </c>
      <c r="H14" s="277"/>
      <c r="I14" s="278"/>
      <c r="J14" s="249" t="s">
        <v>38</v>
      </c>
      <c r="K14" s="250"/>
      <c r="L14" s="251"/>
      <c r="M14" s="279">
        <f>_xlfn.IFNA(VLOOKUP(B14, 현재가테이블!$B$2:$D$200, 3, FALSE), "-")</f>
        <v>-1.4936000099999999E-2</v>
      </c>
      <c r="N14" s="280"/>
      <c r="O14" s="281"/>
      <c r="Q14" s="270"/>
      <c r="R14" s="270"/>
      <c r="S14" s="270"/>
    </row>
    <row r="15" spans="1:19" ht="17.25" customHeight="1" thickBot="1">
      <c r="A15" s="314" t="s">
        <v>39</v>
      </c>
      <c r="B15" s="315" t="str">
        <f>TEXT($G$1, "[$-ko-KR]yyyy-mm-dd(ddd) ") &amp; "오전 00:00"</f>
        <v>2021-05-14(금) 오전 00:00</v>
      </c>
      <c r="C15" s="316"/>
      <c r="D15" s="249" t="str">
        <f>TEXT($G$1, "[$-ko-KR]yyyy-mm-dd(ddd) ") &amp; "오후 14:00"</f>
        <v>2021-05-14(금) 오후 14:00</v>
      </c>
      <c r="E15" s="250"/>
      <c r="F15" s="251"/>
      <c r="G15" s="249" t="str">
        <f>TEXT($G$1, "[$-ko-KR]yyyy-mm-dd(ddd) ") &amp; "오후 19:00"</f>
        <v>2021-05-14(금) 오후 19:00</v>
      </c>
      <c r="H15" s="250"/>
      <c r="I15" s="251"/>
      <c r="J15" s="249" t="str">
        <f>TEXT($G$1, "[$-ko-KR]yyyy-mm-dd(ddd) ") &amp; "오후 21:00"</f>
        <v>2021-05-14(금) 오후 21:00</v>
      </c>
      <c r="K15" s="250"/>
      <c r="L15" s="251"/>
      <c r="M15" s="249" t="str">
        <f>TEXT($G$1+1, "[$-ko-KR]yyyy-mm-dd(ddd) ") &amp; "오전 00:00"</f>
        <v>2021-05-15(토) 오전 00:00</v>
      </c>
      <c r="N15" s="250"/>
      <c r="O15" s="251"/>
      <c r="Q15" s="270"/>
      <c r="R15" s="270"/>
      <c r="S15" s="270"/>
    </row>
    <row r="16" spans="1:19" ht="17.25" customHeight="1" thickBot="1">
      <c r="A16" s="314"/>
      <c r="B16" s="120" t="s">
        <v>37</v>
      </c>
      <c r="C16" s="121" t="s">
        <v>38</v>
      </c>
      <c r="D16" s="120" t="s">
        <v>37</v>
      </c>
      <c r="E16" s="121" t="s">
        <v>40</v>
      </c>
      <c r="F16" s="232" t="s">
        <v>41</v>
      </c>
      <c r="G16" s="225" t="s">
        <v>37</v>
      </c>
      <c r="H16" s="226" t="s">
        <v>40</v>
      </c>
      <c r="I16" s="227" t="s">
        <v>41</v>
      </c>
      <c r="J16" s="121" t="s">
        <v>37</v>
      </c>
      <c r="K16" s="121" t="s">
        <v>40</v>
      </c>
      <c r="L16" s="230" t="s">
        <v>41</v>
      </c>
      <c r="M16" s="120" t="s">
        <v>37</v>
      </c>
      <c r="N16" s="121" t="s">
        <v>40</v>
      </c>
      <c r="O16" s="231" t="s">
        <v>41</v>
      </c>
      <c r="Q16" s="275"/>
      <c r="R16" s="275"/>
      <c r="S16" s="275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141</v>
      </c>
      <c r="C17" s="72">
        <f>IF(NOT(ISBLANK(_xlfn.IFNA(VLOOKUP($A17, $A$40:$O$199, 3, FALSE), ))), _xlfn.IFNA(VLOOKUP($A17, $A$40:$O$199, 3, FALSE), ), "")</f>
        <v>4.4400000000000002E-2</v>
      </c>
      <c r="D17" s="123">
        <f>IF(NOT(ISBLANK(_xlfn.IFNA(VLOOKUP($A17, $A$40:$O$199, 4, FALSE), ))), _xlfn.IFNA(VLOOKUP($A17, $A$40:$O$199, 4, FALSE), ), "")</f>
        <v>147</v>
      </c>
      <c r="E17" s="72">
        <f>IF(NOT(ISBLANK(_xlfn.IFNA(VLOOKUP($A17, $A$40:$O$199, 5, FALSE), ))), _xlfn.IFNA(VLOOKUP($A17, $A$40:$O$199, 5, FALSE), ), "")</f>
        <v>4.2553191489361701E-2</v>
      </c>
      <c r="F17" s="140">
        <f>IF(NOT(ISBLANK(_xlfn.IFNA(VLOOKUP($A17, $A$40:$O$199, 6, FALSE), ))), _xlfn.IFNA(VLOOKUP($A17, $A$40:$O$199, 6, FALSE), ), "")</f>
        <v>6382.9787234042551</v>
      </c>
      <c r="G17" s="38">
        <f>IF(NOT(ISBLANK(_xlfn.IFNA(VLOOKUP($A17, $A$40:$O$199, 7, FALSE), ))), _xlfn.IFNA(VLOOKUP($A17, $A$40:$O$199, 7, FALSE), ), "")</f>
        <v>148</v>
      </c>
      <c r="H17" s="72">
        <f>IF(NOT(ISBLANK(_xlfn.IFNA(VLOOKUP($A17, $A$40:$O$199, 8, FALSE), ))), _xlfn.IFNA(VLOOKUP($A17, $A$40:$O$199, 8, FALSE), ), "")</f>
        <v>4.9645390070921988E-2</v>
      </c>
      <c r="I17" s="201">
        <f>IF(NOT(ISBLANK(_xlfn.IFNA(VLOOKUP($A17, $A$40:$O$199, 9, FALSE), ))), _xlfn.IFNA(VLOOKUP($A17, $A$40:$O$199, 9, FALSE), ), "")</f>
        <v>7446.8085106382978</v>
      </c>
      <c r="J17" s="123">
        <f>IF(NOT(ISBLANK(_xlfn.IFNA(VLOOKUP($A17, $A$40:$O$199, 10, FALSE), ))), _xlfn.IFNA(VLOOKUP($A17, $A$40:$O$199, 10, FALSE), ), "")</f>
        <v>146</v>
      </c>
      <c r="K17" s="72">
        <f>IF(NOT(ISBLANK(_xlfn.IFNA(VLOOKUP($A17, $A$40:$O$199, 11, FALSE), ))), _xlfn.IFNA(VLOOKUP($A17, $A$40:$O$199, 11, FALSE), ), "")</f>
        <v>3.5460992907801421E-2</v>
      </c>
      <c r="L17" s="140">
        <f>IF(NOT(ISBLANK(_xlfn.IFNA(VLOOKUP($A17, $A$40:$O$199, 12, FALSE), ))), _xlfn.IFNA(VLOOKUP($A17, $A$40:$O$199, 12, FALSE), ), "")</f>
        <v>5319.1489361702133</v>
      </c>
      <c r="M17" s="38">
        <f>IF(NOT(ISBLANK(_xlfn.IFNA(VLOOKUP($A17, $A$40:$O$199, 13, FALSE), ))), _xlfn.IFNA(VLOOKUP($A17, $A$40:$O$199, 13, FALSE), ), "")</f>
        <v>144</v>
      </c>
      <c r="N17" s="72">
        <f>IF(NOT(ISBLANK(_xlfn.IFNA(VLOOKUP($A17, $A$40:$O$199, 14, FALSE), ))), _xlfn.IFNA(VLOOKUP($A17, $A$40:$O$199, 14, FALSE), ), "")</f>
        <v>2.1276595744680851E-2</v>
      </c>
      <c r="O17" s="140">
        <f>IF(NOT(ISBLANK(_xlfn.IFNA(VLOOKUP($A17, $A$40:$O$199, 15, FALSE), ))), _xlfn.IFNA(VLOOKUP($A17, $A$40:$O$199, 15, FALSE), ), "")</f>
        <v>3191.4893617021276</v>
      </c>
      <c r="Q17" s="270"/>
      <c r="R17" s="270"/>
      <c r="S17" s="270"/>
    </row>
    <row r="18" spans="1:19" ht="17.25" customHeight="1" thickBot="1">
      <c r="A18" s="124" t="s">
        <v>256</v>
      </c>
      <c r="B18" s="125">
        <f t="shared" ref="B18:B36" si="0">IF(NOT(ISBLANK(_xlfn.IFNA(VLOOKUP($A18, $A$40:$O$199, 2, FALSE), ))), _xlfn.IFNA(VLOOKUP($A18, $A$40:$O$199, 2, FALSE), ), "")</f>
        <v>229</v>
      </c>
      <c r="C18" s="73">
        <f t="shared" ref="C18:C36" si="1">IF(NOT(ISBLANK(_xlfn.IFNA(VLOOKUP($A18, $A$40:$O$199, 3, FALSE), ))), _xlfn.IFNA(VLOOKUP($A18, $A$40:$O$199, 3, FALSE), ), "")</f>
        <v>8.0188679200000001E-2</v>
      </c>
      <c r="D18" s="125">
        <f t="shared" ref="D18:D36" si="2">IF(NOT(ISBLANK(_xlfn.IFNA(VLOOKUP($A18, $A$40:$O$199, 4, FALSE), ))), _xlfn.IFNA(VLOOKUP($A18, $A$40:$O$199, 4, FALSE), ), "")</f>
        <v>235</v>
      </c>
      <c r="E18" s="73">
        <f t="shared" ref="E18:E36" si="3">IF(NOT(ISBLANK(_xlfn.IFNA(VLOOKUP($A18, $A$40:$O$199, 5, FALSE), ))), _xlfn.IFNA(VLOOKUP($A18, $A$40:$O$199, 5, FALSE), ), "")</f>
        <v>2.6200873362445413E-2</v>
      </c>
      <c r="F18" s="136">
        <f t="shared" ref="F18:F36" si="4">IF(NOT(ISBLANK(_xlfn.IFNA(VLOOKUP($A18, $A$40:$O$199, 6, FALSE), ))), _xlfn.IFNA(VLOOKUP($A18, $A$40:$O$199, 6, FALSE), ), "")</f>
        <v>3930.1310043668122</v>
      </c>
      <c r="G18" s="39">
        <f t="shared" ref="G18:G36" si="5">IF(NOT(ISBLANK(_xlfn.IFNA(VLOOKUP($A18, $A$40:$O$199, 7, FALSE), ))), _xlfn.IFNA(VLOOKUP($A18, $A$40:$O$199, 7, FALSE), ), "")</f>
        <v>239</v>
      </c>
      <c r="H18" s="73">
        <f t="shared" ref="H18:H36" si="6">IF(NOT(ISBLANK(_xlfn.IFNA(VLOOKUP($A18, $A$40:$O$199, 8, FALSE), ))), _xlfn.IFNA(VLOOKUP($A18, $A$40:$O$199, 8, FALSE), ), "")</f>
        <v>4.3668122270742356E-2</v>
      </c>
      <c r="I18" s="202">
        <f t="shared" ref="I18:I36" si="7">IF(NOT(ISBLANK(_xlfn.IFNA(VLOOKUP($A18, $A$40:$O$199, 9, FALSE), ))), _xlfn.IFNA(VLOOKUP($A18, $A$40:$O$199, 9, FALSE), ), "")</f>
        <v>6550.2183406113536</v>
      </c>
      <c r="J18" s="125">
        <f t="shared" ref="J18:J36" si="8">IF(NOT(ISBLANK(_xlfn.IFNA(VLOOKUP($A18, $A$40:$O$199, 10, FALSE), ))), _xlfn.IFNA(VLOOKUP($A18, $A$40:$O$199, 10, FALSE), ), "")</f>
        <v>239</v>
      </c>
      <c r="K18" s="73">
        <f t="shared" ref="K18:K36" si="9">IF(NOT(ISBLANK(_xlfn.IFNA(VLOOKUP($A18, $A$40:$O$199, 11, FALSE), ))), _xlfn.IFNA(VLOOKUP($A18, $A$40:$O$199, 11, FALSE), ), "")</f>
        <v>4.3668122270742356E-2</v>
      </c>
      <c r="L18" s="136">
        <f t="shared" ref="L18:L36" si="10">IF(NOT(ISBLANK(_xlfn.IFNA(VLOOKUP($A18, $A$40:$O$199, 12, FALSE), ))), _xlfn.IFNA(VLOOKUP($A18, $A$40:$O$199, 12, FALSE), ), "")</f>
        <v>6550.2183406113536</v>
      </c>
      <c r="M18" s="39">
        <f t="shared" ref="M18:M36" si="11">IF(NOT(ISBLANK(_xlfn.IFNA(VLOOKUP($A18, $A$40:$O$199, 13, FALSE), ))), _xlfn.IFNA(VLOOKUP($A18, $A$40:$O$199, 13, FALSE), ), "")</f>
        <v>241</v>
      </c>
      <c r="N18" s="73">
        <f t="shared" ref="N18:N36" si="12">IF(NOT(ISBLANK(_xlfn.IFNA(VLOOKUP($A18, $A$40:$O$199, 14, FALSE), ))), _xlfn.IFNA(VLOOKUP($A18, $A$40:$O$199, 14, FALSE), ), "")</f>
        <v>5.2401746724890827E-2</v>
      </c>
      <c r="O18" s="136">
        <f t="shared" ref="O18:O36" si="13">IF(NOT(ISBLANK(_xlfn.IFNA(VLOOKUP($A18, $A$40:$O$199, 15, FALSE), ))), _xlfn.IFNA(VLOOKUP($A18, $A$40:$O$199, 15, FALSE), ), "")</f>
        <v>7860.2620087336245</v>
      </c>
      <c r="Q18" s="270"/>
      <c r="R18" s="270"/>
      <c r="S18" s="270"/>
    </row>
    <row r="19" spans="1:19" ht="17.25" customHeight="1" thickBot="1">
      <c r="A19" s="124" t="s">
        <v>120</v>
      </c>
      <c r="B19" s="125">
        <f t="shared" si="0"/>
        <v>199</v>
      </c>
      <c r="C19" s="73">
        <f t="shared" si="1"/>
        <v>5.8510638300000001E-2</v>
      </c>
      <c r="D19" s="125">
        <f t="shared" si="2"/>
        <v>198</v>
      </c>
      <c r="E19" s="73">
        <f t="shared" si="3"/>
        <v>-5.0251256281407036E-3</v>
      </c>
      <c r="F19" s="136">
        <f t="shared" si="4"/>
        <v>-753.7688442211055</v>
      </c>
      <c r="G19" s="39">
        <f t="shared" si="5"/>
        <v>201</v>
      </c>
      <c r="H19" s="73">
        <f t="shared" si="6"/>
        <v>1.0050251256281407E-2</v>
      </c>
      <c r="I19" s="202">
        <f t="shared" si="7"/>
        <v>1507.537688442211</v>
      </c>
      <c r="J19" s="125">
        <f t="shared" si="8"/>
        <v>204</v>
      </c>
      <c r="K19" s="73">
        <f t="shared" si="9"/>
        <v>2.5125628140703519E-2</v>
      </c>
      <c r="L19" s="136">
        <f t="shared" si="10"/>
        <v>3768.844221105528</v>
      </c>
      <c r="M19" s="39">
        <f t="shared" si="11"/>
        <v>204</v>
      </c>
      <c r="N19" s="73">
        <f t="shared" si="12"/>
        <v>2.5125628140703519E-2</v>
      </c>
      <c r="O19" s="136">
        <f t="shared" si="13"/>
        <v>3768.844221105528</v>
      </c>
      <c r="Q19" s="275"/>
      <c r="R19" s="275"/>
      <c r="S19" s="275"/>
    </row>
    <row r="20" spans="1:19" ht="17.25" customHeight="1" thickBot="1">
      <c r="A20" s="124" t="s">
        <v>264</v>
      </c>
      <c r="B20" s="125">
        <f t="shared" si="0"/>
        <v>147</v>
      </c>
      <c r="C20" s="73">
        <f t="shared" si="1"/>
        <v>4.2553191499999997E-2</v>
      </c>
      <c r="D20" s="125">
        <f t="shared" si="2"/>
        <v>147</v>
      </c>
      <c r="E20" s="73">
        <f t="shared" si="3"/>
        <v>0</v>
      </c>
      <c r="F20" s="136">
        <f t="shared" si="4"/>
        <v>0</v>
      </c>
      <c r="G20" s="39">
        <f t="shared" si="5"/>
        <v>149</v>
      </c>
      <c r="H20" s="73">
        <f t="shared" si="6"/>
        <v>1.3605442176870748E-2</v>
      </c>
      <c r="I20" s="202">
        <f t="shared" si="7"/>
        <v>2040.8163265306121</v>
      </c>
      <c r="J20" s="125">
        <f t="shared" si="8"/>
        <v>148</v>
      </c>
      <c r="K20" s="73">
        <f t="shared" si="9"/>
        <v>6.8027210884353739E-3</v>
      </c>
      <c r="L20" s="136">
        <f t="shared" si="10"/>
        <v>1020.408163265306</v>
      </c>
      <c r="M20" s="39">
        <f t="shared" si="11"/>
        <v>149</v>
      </c>
      <c r="N20" s="73">
        <f t="shared" si="12"/>
        <v>1.3605442176870748E-2</v>
      </c>
      <c r="O20" s="136">
        <f t="shared" si="13"/>
        <v>2040.8163265306121</v>
      </c>
      <c r="Q20" s="275"/>
      <c r="R20" s="275"/>
      <c r="S20" s="275"/>
    </row>
    <row r="21" spans="1:19" ht="17.25" customHeight="1" thickBot="1">
      <c r="A21" s="126" t="s">
        <v>230</v>
      </c>
      <c r="B21" s="127">
        <f t="shared" si="0"/>
        <v>145</v>
      </c>
      <c r="C21" s="74">
        <f t="shared" si="1"/>
        <v>6.6176470599999995E-2</v>
      </c>
      <c r="D21" s="127">
        <f t="shared" si="2"/>
        <v>150</v>
      </c>
      <c r="E21" s="74">
        <f t="shared" si="3"/>
        <v>3.4482758620689655E-2</v>
      </c>
      <c r="F21" s="203">
        <f t="shared" si="4"/>
        <v>5172.4137931034484</v>
      </c>
      <c r="G21" s="44">
        <f t="shared" si="5"/>
        <v>148</v>
      </c>
      <c r="H21" s="74">
        <f t="shared" si="6"/>
        <v>2.0689655172413793E-2</v>
      </c>
      <c r="I21" s="204">
        <f t="shared" si="7"/>
        <v>3103.4482758620688</v>
      </c>
      <c r="J21" s="127">
        <f t="shared" si="8"/>
        <v>147</v>
      </c>
      <c r="K21" s="74">
        <f t="shared" si="9"/>
        <v>1.3793103448275862E-2</v>
      </c>
      <c r="L21" s="203">
        <f t="shared" si="10"/>
        <v>2068.9655172413791</v>
      </c>
      <c r="M21" s="44">
        <f t="shared" si="11"/>
        <v>146</v>
      </c>
      <c r="N21" s="74">
        <f t="shared" si="12"/>
        <v>6.8965517241379309E-3</v>
      </c>
      <c r="O21" s="203">
        <f t="shared" si="13"/>
        <v>1034.4827586206895</v>
      </c>
      <c r="Q21" s="275"/>
      <c r="R21" s="275"/>
      <c r="S21" s="275"/>
    </row>
    <row r="22" spans="1:19" ht="17.25" customHeight="1" thickBot="1">
      <c r="A22" s="124" t="s">
        <v>282</v>
      </c>
      <c r="B22" s="128">
        <f t="shared" si="0"/>
        <v>149</v>
      </c>
      <c r="C22" s="76">
        <f t="shared" si="1"/>
        <v>2.75862069E-2</v>
      </c>
      <c r="D22" s="128">
        <f t="shared" si="2"/>
        <v>148</v>
      </c>
      <c r="E22" s="76">
        <f t="shared" si="3"/>
        <v>-6.7114093959731542E-3</v>
      </c>
      <c r="F22" s="205">
        <f t="shared" si="4"/>
        <v>-1006.7114093959731</v>
      </c>
      <c r="G22" s="45">
        <f t="shared" si="5"/>
        <v>150</v>
      </c>
      <c r="H22" s="76">
        <f t="shared" si="6"/>
        <v>6.7114093959731542E-3</v>
      </c>
      <c r="I22" s="206">
        <f t="shared" si="7"/>
        <v>1006.7114093959731</v>
      </c>
      <c r="J22" s="128">
        <f t="shared" si="8"/>
        <v>150</v>
      </c>
      <c r="K22" s="76">
        <f t="shared" si="9"/>
        <v>6.7114093959731542E-3</v>
      </c>
      <c r="L22" s="205">
        <f t="shared" si="10"/>
        <v>1006.7114093959731</v>
      </c>
      <c r="M22" s="45">
        <f t="shared" si="11"/>
        <v>149</v>
      </c>
      <c r="N22" s="76">
        <f t="shared" si="12"/>
        <v>0</v>
      </c>
      <c r="O22" s="205">
        <f t="shared" si="13"/>
        <v>0</v>
      </c>
      <c r="Q22" s="275"/>
      <c r="R22" s="275"/>
      <c r="S22" s="275"/>
    </row>
    <row r="23" spans="1:19" ht="17.25" customHeight="1" thickBot="1">
      <c r="A23" s="124" t="s">
        <v>240</v>
      </c>
      <c r="B23" s="125">
        <f t="shared" si="0"/>
        <v>149</v>
      </c>
      <c r="C23" s="73">
        <f t="shared" si="1"/>
        <v>5.6737588700000001E-2</v>
      </c>
      <c r="D23" s="125">
        <f t="shared" si="2"/>
        <v>165</v>
      </c>
      <c r="E23" s="73">
        <f t="shared" si="3"/>
        <v>0.10738255033557047</v>
      </c>
      <c r="F23" s="136">
        <f t="shared" si="4"/>
        <v>16107.382550335569</v>
      </c>
      <c r="G23" s="39">
        <f t="shared" si="5"/>
        <v>161</v>
      </c>
      <c r="H23" s="73">
        <f t="shared" si="6"/>
        <v>8.0536912751677847E-2</v>
      </c>
      <c r="I23" s="202">
        <f t="shared" si="7"/>
        <v>12080.536912751677</v>
      </c>
      <c r="J23" s="125">
        <f t="shared" si="8"/>
        <v>163</v>
      </c>
      <c r="K23" s="73">
        <f t="shared" si="9"/>
        <v>9.3959731543624164E-2</v>
      </c>
      <c r="L23" s="136">
        <f t="shared" si="10"/>
        <v>14093.959731543624</v>
      </c>
      <c r="M23" s="39">
        <f t="shared" si="11"/>
        <v>159</v>
      </c>
      <c r="N23" s="73">
        <f t="shared" si="12"/>
        <v>6.7114093959731544E-2</v>
      </c>
      <c r="O23" s="136">
        <f t="shared" si="13"/>
        <v>10067.114093959732</v>
      </c>
      <c r="Q23" s="275"/>
      <c r="R23" s="275"/>
      <c r="S23" s="275"/>
    </row>
    <row r="24" spans="1:19" ht="17.25" customHeight="1" thickBot="1">
      <c r="A24" s="124" t="s">
        <v>246</v>
      </c>
      <c r="B24" s="125">
        <f t="shared" si="0"/>
        <v>317</v>
      </c>
      <c r="C24" s="73">
        <f t="shared" si="1"/>
        <v>4.6204620500000002E-2</v>
      </c>
      <c r="D24" s="125">
        <f t="shared" si="2"/>
        <v>324</v>
      </c>
      <c r="E24" s="73">
        <f t="shared" si="3"/>
        <v>2.2082018927444796E-2</v>
      </c>
      <c r="F24" s="136">
        <f t="shared" si="4"/>
        <v>3312.3028391167195</v>
      </c>
      <c r="G24" s="39">
        <f t="shared" si="5"/>
        <v>323</v>
      </c>
      <c r="H24" s="73">
        <f t="shared" si="6"/>
        <v>1.8927444794952682E-2</v>
      </c>
      <c r="I24" s="202">
        <f t="shared" si="7"/>
        <v>2839.116719242902</v>
      </c>
      <c r="J24" s="125">
        <f t="shared" si="8"/>
        <v>323</v>
      </c>
      <c r="K24" s="73">
        <f t="shared" si="9"/>
        <v>1.8927444794952682E-2</v>
      </c>
      <c r="L24" s="136">
        <f t="shared" si="10"/>
        <v>2839.116719242902</v>
      </c>
      <c r="M24" s="39">
        <f t="shared" si="11"/>
        <v>322</v>
      </c>
      <c r="N24" s="73">
        <f t="shared" si="12"/>
        <v>1.5772870662460567E-2</v>
      </c>
      <c r="O24" s="136">
        <f t="shared" si="13"/>
        <v>2365.930599369085</v>
      </c>
      <c r="Q24" s="275"/>
      <c r="R24" s="275"/>
      <c r="S24" s="275"/>
    </row>
    <row r="25" spans="1:19" ht="17.25" customHeight="1" thickBot="1">
      <c r="A25" s="124" t="s">
        <v>200</v>
      </c>
      <c r="B25" s="125">
        <f t="shared" si="0"/>
        <v>300</v>
      </c>
      <c r="C25" s="73">
        <f t="shared" si="1"/>
        <v>2.0408163300000001E-2</v>
      </c>
      <c r="D25" s="125">
        <f t="shared" si="2"/>
        <v>302</v>
      </c>
      <c r="E25" s="73">
        <f t="shared" si="3"/>
        <v>6.6666666666666671E-3</v>
      </c>
      <c r="F25" s="136">
        <f t="shared" si="4"/>
        <v>1000.0000000000001</v>
      </c>
      <c r="G25" s="39">
        <f t="shared" si="5"/>
        <v>305</v>
      </c>
      <c r="H25" s="73">
        <f t="shared" si="6"/>
        <v>1.6666666666666666E-2</v>
      </c>
      <c r="I25" s="202">
        <f t="shared" si="7"/>
        <v>2500</v>
      </c>
      <c r="J25" s="125">
        <f t="shared" si="8"/>
        <v>305</v>
      </c>
      <c r="K25" s="73">
        <f t="shared" si="9"/>
        <v>1.6666666666666666E-2</v>
      </c>
      <c r="L25" s="136">
        <f t="shared" si="10"/>
        <v>2500</v>
      </c>
      <c r="M25" s="39">
        <f t="shared" si="11"/>
        <v>305</v>
      </c>
      <c r="N25" s="73">
        <f t="shared" si="12"/>
        <v>1.6666666666666666E-2</v>
      </c>
      <c r="O25" s="136">
        <f t="shared" si="13"/>
        <v>2500</v>
      </c>
      <c r="Q25" s="33"/>
      <c r="R25" s="33"/>
    </row>
    <row r="26" spans="1:19" ht="17.25" customHeight="1" thickBot="1">
      <c r="A26" s="129" t="s">
        <v>232</v>
      </c>
      <c r="B26" s="130">
        <f t="shared" si="0"/>
        <v>144</v>
      </c>
      <c r="C26" s="75">
        <f t="shared" si="1"/>
        <v>2.85714286E-2</v>
      </c>
      <c r="D26" s="130">
        <f t="shared" si="2"/>
        <v>149</v>
      </c>
      <c r="E26" s="75">
        <f t="shared" si="3"/>
        <v>3.4722222222222224E-2</v>
      </c>
      <c r="F26" s="137">
        <f t="shared" si="4"/>
        <v>5208.3333333333339</v>
      </c>
      <c r="G26" s="37">
        <f t="shared" si="5"/>
        <v>151</v>
      </c>
      <c r="H26" s="75">
        <f t="shared" si="6"/>
        <v>4.8611111111111112E-2</v>
      </c>
      <c r="I26" s="207">
        <f t="shared" si="7"/>
        <v>7291.666666666667</v>
      </c>
      <c r="J26" s="130">
        <f t="shared" si="8"/>
        <v>150</v>
      </c>
      <c r="K26" s="75">
        <f t="shared" si="9"/>
        <v>4.1666666666666664E-2</v>
      </c>
      <c r="L26" s="137">
        <f t="shared" si="10"/>
        <v>6250</v>
      </c>
      <c r="M26" s="37">
        <f t="shared" si="11"/>
        <v>150</v>
      </c>
      <c r="N26" s="75">
        <f t="shared" si="12"/>
        <v>4.1666666666666664E-2</v>
      </c>
      <c r="O26" s="137">
        <f t="shared" si="13"/>
        <v>6250</v>
      </c>
      <c r="Q26" s="284"/>
      <c r="R26" s="285"/>
      <c r="S26" s="286"/>
    </row>
    <row r="27" spans="1:19" ht="17.25" customHeight="1">
      <c r="A27" s="122" t="s">
        <v>174</v>
      </c>
      <c r="B27" s="123">
        <f t="shared" si="0"/>
        <v>243</v>
      </c>
      <c r="C27" s="72">
        <f t="shared" si="1"/>
        <v>6.1135371199999997E-2</v>
      </c>
      <c r="D27" s="123">
        <f t="shared" si="2"/>
        <v>254</v>
      </c>
      <c r="E27" s="72">
        <f t="shared" si="3"/>
        <v>4.5267489711934158E-2</v>
      </c>
      <c r="F27" s="140">
        <f t="shared" si="4"/>
        <v>6790.1234567901238</v>
      </c>
      <c r="G27" s="38">
        <f t="shared" si="5"/>
        <v>257</v>
      </c>
      <c r="H27" s="72">
        <f t="shared" si="6"/>
        <v>5.7613168724279837E-2</v>
      </c>
      <c r="I27" s="201">
        <f t="shared" si="7"/>
        <v>8641.9753086419751</v>
      </c>
      <c r="J27" s="123">
        <f t="shared" si="8"/>
        <v>252</v>
      </c>
      <c r="K27" s="72">
        <f t="shared" si="9"/>
        <v>3.7037037037037035E-2</v>
      </c>
      <c r="L27" s="140">
        <f t="shared" si="10"/>
        <v>5555.5555555555557</v>
      </c>
      <c r="M27" s="38">
        <f t="shared" si="11"/>
        <v>252</v>
      </c>
      <c r="N27" s="72">
        <f t="shared" si="12"/>
        <v>3.7037037037037035E-2</v>
      </c>
      <c r="O27" s="140">
        <f t="shared" si="13"/>
        <v>5555.5555555555557</v>
      </c>
      <c r="Q27" s="287"/>
      <c r="R27" s="288"/>
      <c r="S27" s="289"/>
    </row>
    <row r="28" spans="1:19" ht="17.25" customHeight="1" thickBot="1">
      <c r="A28" s="124" t="s">
        <v>112</v>
      </c>
      <c r="B28" s="125">
        <f t="shared" si="0"/>
        <v>227</v>
      </c>
      <c r="C28" s="73">
        <f t="shared" si="1"/>
        <v>2.7149321300000001E-2</v>
      </c>
      <c r="D28" s="125">
        <f t="shared" si="2"/>
        <v>232</v>
      </c>
      <c r="E28" s="73">
        <f t="shared" si="3"/>
        <v>2.2026431718061675E-2</v>
      </c>
      <c r="F28" s="136">
        <f t="shared" si="4"/>
        <v>3303.9647577092514</v>
      </c>
      <c r="G28" s="39">
        <f t="shared" si="5"/>
        <v>231</v>
      </c>
      <c r="H28" s="73">
        <f t="shared" si="6"/>
        <v>1.7621145374449341E-2</v>
      </c>
      <c r="I28" s="202">
        <f t="shared" si="7"/>
        <v>2643.171806167401</v>
      </c>
      <c r="J28" s="125">
        <f t="shared" si="8"/>
        <v>232</v>
      </c>
      <c r="K28" s="73">
        <f t="shared" si="9"/>
        <v>2.2026431718061675E-2</v>
      </c>
      <c r="L28" s="136">
        <f t="shared" si="10"/>
        <v>3303.9647577092514</v>
      </c>
      <c r="M28" s="39">
        <f t="shared" si="11"/>
        <v>230</v>
      </c>
      <c r="N28" s="73">
        <f t="shared" si="12"/>
        <v>1.3215859030837005E-2</v>
      </c>
      <c r="O28" s="136">
        <f t="shared" si="13"/>
        <v>1982.3788546255507</v>
      </c>
      <c r="Q28" s="290"/>
      <c r="R28" s="291"/>
      <c r="S28" s="292"/>
    </row>
    <row r="29" spans="1:19" ht="17.25" customHeight="1" thickBot="1">
      <c r="A29" s="124" t="s">
        <v>260</v>
      </c>
      <c r="B29" s="125">
        <f t="shared" si="0"/>
        <v>115</v>
      </c>
      <c r="C29" s="73">
        <f t="shared" si="1"/>
        <v>6.4814814799999995E-2</v>
      </c>
      <c r="D29" s="125">
        <f t="shared" si="2"/>
        <v>119</v>
      </c>
      <c r="E29" s="73">
        <f t="shared" si="3"/>
        <v>3.4782608695652174E-2</v>
      </c>
      <c r="F29" s="136">
        <f t="shared" si="4"/>
        <v>5217.391304347826</v>
      </c>
      <c r="G29" s="39">
        <f t="shared" si="5"/>
        <v>124</v>
      </c>
      <c r="H29" s="73">
        <f t="shared" si="6"/>
        <v>7.8260869565217397E-2</v>
      </c>
      <c r="I29" s="202">
        <f t="shared" si="7"/>
        <v>11739.13043478261</v>
      </c>
      <c r="J29" s="125">
        <f t="shared" si="8"/>
        <v>123</v>
      </c>
      <c r="K29" s="73">
        <f t="shared" si="9"/>
        <v>6.9565217391304349E-2</v>
      </c>
      <c r="L29" s="136">
        <f t="shared" si="10"/>
        <v>10434.782608695652</v>
      </c>
      <c r="M29" s="39">
        <f t="shared" si="11"/>
        <v>123</v>
      </c>
      <c r="N29" s="73">
        <f t="shared" si="12"/>
        <v>6.9565217391304349E-2</v>
      </c>
      <c r="O29" s="136">
        <f t="shared" si="13"/>
        <v>10434.782608695652</v>
      </c>
      <c r="Q29" s="275"/>
      <c r="R29" s="275"/>
      <c r="S29" s="275"/>
    </row>
    <row r="30" spans="1:19" ht="17.25" customHeight="1" thickBot="1">
      <c r="A30" s="124" t="s">
        <v>122</v>
      </c>
      <c r="B30" s="125">
        <f t="shared" si="0"/>
        <v>106</v>
      </c>
      <c r="C30" s="73">
        <f t="shared" si="1"/>
        <v>8.49539406E-2</v>
      </c>
      <c r="D30" s="125">
        <f t="shared" si="2"/>
        <v>103</v>
      </c>
      <c r="E30" s="73">
        <f t="shared" si="3"/>
        <v>-2.8301886792452831E-2</v>
      </c>
      <c r="F30" s="136">
        <f t="shared" si="4"/>
        <v>-4245.2830188679245</v>
      </c>
      <c r="G30" s="39">
        <f t="shared" si="5"/>
        <v>104</v>
      </c>
      <c r="H30" s="73">
        <f t="shared" si="6"/>
        <v>-1.8867924528301886E-2</v>
      </c>
      <c r="I30" s="202">
        <f t="shared" si="7"/>
        <v>-2830.1886792452829</v>
      </c>
      <c r="J30" s="125">
        <f t="shared" si="8"/>
        <v>104</v>
      </c>
      <c r="K30" s="73">
        <f t="shared" si="9"/>
        <v>-1.8867924528301886E-2</v>
      </c>
      <c r="L30" s="136">
        <f t="shared" si="10"/>
        <v>-2830.1886792452829</v>
      </c>
      <c r="M30" s="39">
        <f t="shared" si="11"/>
        <v>104</v>
      </c>
      <c r="N30" s="73">
        <f t="shared" si="12"/>
        <v>-1.8867924528301886E-2</v>
      </c>
      <c r="O30" s="136">
        <f t="shared" si="13"/>
        <v>-2830.1886792452829</v>
      </c>
      <c r="Q30" s="270"/>
      <c r="R30" s="270"/>
      <c r="S30" s="270"/>
    </row>
    <row r="31" spans="1:19" ht="17.25" customHeight="1" thickBot="1">
      <c r="A31" s="126" t="s">
        <v>202</v>
      </c>
      <c r="B31" s="127">
        <f t="shared" si="0"/>
        <v>165</v>
      </c>
      <c r="C31" s="74">
        <f t="shared" si="1"/>
        <v>4.4303797499999999E-2</v>
      </c>
      <c r="D31" s="127">
        <f t="shared" si="2"/>
        <v>166</v>
      </c>
      <c r="E31" s="74">
        <f t="shared" si="3"/>
        <v>6.0606060606060606E-3</v>
      </c>
      <c r="F31" s="203">
        <f t="shared" si="4"/>
        <v>909.09090909090912</v>
      </c>
      <c r="G31" s="44">
        <f t="shared" si="5"/>
        <v>168</v>
      </c>
      <c r="H31" s="74">
        <f t="shared" si="6"/>
        <v>1.8181818181818181E-2</v>
      </c>
      <c r="I31" s="204">
        <f t="shared" si="7"/>
        <v>2727.272727272727</v>
      </c>
      <c r="J31" s="127">
        <f t="shared" si="8"/>
        <v>168</v>
      </c>
      <c r="K31" s="74">
        <f t="shared" si="9"/>
        <v>1.8181818181818181E-2</v>
      </c>
      <c r="L31" s="203">
        <f t="shared" si="10"/>
        <v>2727.272727272727</v>
      </c>
      <c r="M31" s="44">
        <f t="shared" si="11"/>
        <v>166</v>
      </c>
      <c r="N31" s="74">
        <f t="shared" si="12"/>
        <v>6.0606060606060606E-3</v>
      </c>
      <c r="O31" s="203">
        <f t="shared" si="13"/>
        <v>909.09090909090912</v>
      </c>
      <c r="Q31" s="270"/>
      <c r="R31" s="270"/>
      <c r="S31" s="270"/>
    </row>
    <row r="32" spans="1:19" ht="17.25" customHeight="1" thickBot="1">
      <c r="A32" s="124" t="s">
        <v>238</v>
      </c>
      <c r="B32" s="128">
        <f t="shared" si="0"/>
        <v>245</v>
      </c>
      <c r="C32" s="76">
        <f t="shared" si="1"/>
        <v>4.7008546999999998E-2</v>
      </c>
      <c r="D32" s="128">
        <f t="shared" si="2"/>
        <v>242</v>
      </c>
      <c r="E32" s="76">
        <f t="shared" si="3"/>
        <v>-1.2244897959183673E-2</v>
      </c>
      <c r="F32" s="205">
        <f t="shared" si="4"/>
        <v>-1836.7346938775509</v>
      </c>
      <c r="G32" s="45">
        <f t="shared" si="5"/>
        <v>242</v>
      </c>
      <c r="H32" s="76">
        <f t="shared" si="6"/>
        <v>-1.2244897959183673E-2</v>
      </c>
      <c r="I32" s="206">
        <f t="shared" si="7"/>
        <v>-1836.7346938775509</v>
      </c>
      <c r="J32" s="128">
        <f t="shared" si="8"/>
        <v>243</v>
      </c>
      <c r="K32" s="76">
        <f t="shared" si="9"/>
        <v>-8.1632653061224497E-3</v>
      </c>
      <c r="L32" s="205">
        <f t="shared" si="10"/>
        <v>-1224.4897959183675</v>
      </c>
      <c r="M32" s="45">
        <f t="shared" si="11"/>
        <v>242</v>
      </c>
      <c r="N32" s="76">
        <f t="shared" si="12"/>
        <v>-1.2244897959183673E-2</v>
      </c>
      <c r="O32" s="205">
        <f t="shared" si="13"/>
        <v>-1836.7346938775509</v>
      </c>
      <c r="Q32" s="275"/>
      <c r="R32" s="275"/>
      <c r="S32" s="275"/>
    </row>
    <row r="33" spans="1:19" ht="17.25" customHeight="1" thickBot="1">
      <c r="A33" s="124" t="s">
        <v>210</v>
      </c>
      <c r="B33" s="125">
        <f t="shared" si="0"/>
        <v>164</v>
      </c>
      <c r="C33" s="73">
        <f t="shared" si="1"/>
        <v>3.7974683500000002E-2</v>
      </c>
      <c r="D33" s="125">
        <f t="shared" si="2"/>
        <v>163</v>
      </c>
      <c r="E33" s="73">
        <f t="shared" si="3"/>
        <v>-6.0975609756097563E-3</v>
      </c>
      <c r="F33" s="136">
        <f t="shared" si="4"/>
        <v>-914.63414634146341</v>
      </c>
      <c r="G33" s="39">
        <f t="shared" si="5"/>
        <v>166</v>
      </c>
      <c r="H33" s="73">
        <f t="shared" si="6"/>
        <v>1.2195121951219513E-2</v>
      </c>
      <c r="I33" s="202">
        <f t="shared" si="7"/>
        <v>1829.2682926829268</v>
      </c>
      <c r="J33" s="125">
        <f t="shared" si="8"/>
        <v>165</v>
      </c>
      <c r="K33" s="73">
        <f t="shared" si="9"/>
        <v>6.0975609756097563E-3</v>
      </c>
      <c r="L33" s="136">
        <f t="shared" si="10"/>
        <v>914.63414634146341</v>
      </c>
      <c r="M33" s="39">
        <f t="shared" si="11"/>
        <v>165</v>
      </c>
      <c r="N33" s="73">
        <f t="shared" si="12"/>
        <v>6.0975609756097563E-3</v>
      </c>
      <c r="O33" s="136">
        <f t="shared" si="13"/>
        <v>914.63414634146341</v>
      </c>
      <c r="Q33" s="275"/>
      <c r="R33" s="275"/>
      <c r="S33" s="275"/>
    </row>
    <row r="34" spans="1:19" ht="17.25" customHeight="1" thickBot="1">
      <c r="A34" s="124" t="s">
        <v>212</v>
      </c>
      <c r="B34" s="125">
        <f t="shared" si="0"/>
        <v>123</v>
      </c>
      <c r="C34" s="73">
        <f t="shared" si="1"/>
        <v>2.5000000000000001E-2</v>
      </c>
      <c r="D34" s="125">
        <f t="shared" si="2"/>
        <v>124</v>
      </c>
      <c r="E34" s="73">
        <f t="shared" si="3"/>
        <v>8.130081300813009E-3</v>
      </c>
      <c r="F34" s="136">
        <f t="shared" si="4"/>
        <v>1219.5121951219514</v>
      </c>
      <c r="G34" s="39">
        <f t="shared" si="5"/>
        <v>126</v>
      </c>
      <c r="H34" s="73">
        <f t="shared" si="6"/>
        <v>2.4390243902439025E-2</v>
      </c>
      <c r="I34" s="202">
        <f t="shared" si="7"/>
        <v>3658.5365853658536</v>
      </c>
      <c r="J34" s="125">
        <f t="shared" si="8"/>
        <v>126</v>
      </c>
      <c r="K34" s="73">
        <f t="shared" si="9"/>
        <v>2.4390243902439025E-2</v>
      </c>
      <c r="L34" s="136">
        <f t="shared" si="10"/>
        <v>3658.5365853658536</v>
      </c>
      <c r="M34" s="39">
        <f t="shared" si="11"/>
        <v>127</v>
      </c>
      <c r="N34" s="73">
        <f t="shared" si="12"/>
        <v>3.2520325203252036E-2</v>
      </c>
      <c r="O34" s="136">
        <f t="shared" si="13"/>
        <v>4878.0487804878057</v>
      </c>
      <c r="Q34" s="275"/>
      <c r="R34" s="275"/>
      <c r="S34" s="275"/>
    </row>
    <row r="35" spans="1:19" ht="17.25" customHeight="1">
      <c r="A35" s="124" t="s">
        <v>226</v>
      </c>
      <c r="B35" s="125">
        <f t="shared" si="0"/>
        <v>422</v>
      </c>
      <c r="C35" s="73">
        <f t="shared" si="1"/>
        <v>4.4600000000000001E-2</v>
      </c>
      <c r="D35" s="125">
        <f t="shared" si="2"/>
        <v>427</v>
      </c>
      <c r="E35" s="73">
        <f t="shared" si="3"/>
        <v>1.1848341232227487E-2</v>
      </c>
      <c r="F35" s="136">
        <f t="shared" si="4"/>
        <v>1777.251184834123</v>
      </c>
      <c r="G35" s="39">
        <f t="shared" si="5"/>
        <v>433</v>
      </c>
      <c r="H35" s="73">
        <f t="shared" si="6"/>
        <v>2.6066350710900472E-2</v>
      </c>
      <c r="I35" s="202">
        <f t="shared" si="7"/>
        <v>3909.9526066350709</v>
      </c>
      <c r="J35" s="125">
        <f t="shared" si="8"/>
        <v>430</v>
      </c>
      <c r="K35" s="73">
        <f t="shared" si="9"/>
        <v>1.8957345971563982E-2</v>
      </c>
      <c r="L35" s="136">
        <f t="shared" si="10"/>
        <v>2843.6018957345973</v>
      </c>
      <c r="M35" s="39">
        <f t="shared" si="11"/>
        <v>431</v>
      </c>
      <c r="N35" s="73">
        <f t="shared" si="12"/>
        <v>2.132701421800948E-2</v>
      </c>
      <c r="O35" s="136">
        <f t="shared" si="13"/>
        <v>3199.0521327014221</v>
      </c>
      <c r="Q35" s="297"/>
      <c r="R35" s="298"/>
      <c r="S35" s="299"/>
    </row>
    <row r="36" spans="1:19" ht="17.25" customHeight="1" thickBot="1">
      <c r="A36" s="129" t="s">
        <v>236</v>
      </c>
      <c r="B36" s="130">
        <f t="shared" si="0"/>
        <v>72.2</v>
      </c>
      <c r="C36" s="75">
        <f t="shared" si="1"/>
        <v>-2.82637954E-2</v>
      </c>
      <c r="D36" s="130">
        <f t="shared" si="2"/>
        <v>69</v>
      </c>
      <c r="E36" s="75">
        <f t="shared" si="3"/>
        <v>-4.4321329639889231E-2</v>
      </c>
      <c r="F36" s="137">
        <f t="shared" si="4"/>
        <v>-6648.199445983385</v>
      </c>
      <c r="G36" s="37">
        <f t="shared" si="5"/>
        <v>68.900000000000006</v>
      </c>
      <c r="H36" s="75">
        <f t="shared" si="6"/>
        <v>-4.5706371191135693E-2</v>
      </c>
      <c r="I36" s="207">
        <f t="shared" si="7"/>
        <v>-6855.9556786703542</v>
      </c>
      <c r="J36" s="130">
        <f t="shared" si="8"/>
        <v>69.099999999999994</v>
      </c>
      <c r="K36" s="75">
        <f t="shared" si="9"/>
        <v>-4.2936288088642777E-2</v>
      </c>
      <c r="L36" s="137">
        <f t="shared" si="10"/>
        <v>-6440.4432132964166</v>
      </c>
      <c r="M36" s="37">
        <f t="shared" si="11"/>
        <v>69.099999999999994</v>
      </c>
      <c r="N36" s="75">
        <f t="shared" si="12"/>
        <v>-4.2936288088642777E-2</v>
      </c>
      <c r="O36" s="137">
        <f t="shared" si="13"/>
        <v>-6440.4432132964166</v>
      </c>
      <c r="Q36" s="300"/>
      <c r="R36" s="301"/>
      <c r="S36" s="302"/>
    </row>
    <row r="37" spans="1:19" ht="17.25" customHeight="1" thickBot="1">
      <c r="A37" s="131" t="s">
        <v>42</v>
      </c>
      <c r="B37" s="308">
        <v>150000</v>
      </c>
      <c r="C37" s="309"/>
      <c r="D37" s="131" t="s">
        <v>43</v>
      </c>
      <c r="E37" s="228">
        <f>IF(COUNT(E17:E36), SUM(E17:E36) / COUNT(E17:E36), 0)</f>
        <v>1.4975181497622309E-2</v>
      </c>
      <c r="F37" s="208">
        <f>SUM(F17:F36)</f>
        <v>44925.544492866924</v>
      </c>
      <c r="G37" s="131" t="s">
        <v>43</v>
      </c>
      <c r="H37" s="228">
        <f>IF(COUNT(H17:H36), SUM(H17:H36) / COUNT(H17:H36), 0)</f>
        <v>2.3331096519965719E-2</v>
      </c>
      <c r="I37" s="208">
        <f>SUM(I17:I36)</f>
        <v>69993.289559897123</v>
      </c>
      <c r="J37" s="131" t="s">
        <v>43</v>
      </c>
      <c r="K37" s="228">
        <f>IF(COUNT(K17:K36), SUM(K17:K36) / COUNT(K17:K36), 0)</f>
        <v>2.1453533208930436E-2</v>
      </c>
      <c r="L37" s="208">
        <f>SUM(L17:L36)</f>
        <v>64360.599626791314</v>
      </c>
      <c r="M37" s="131" t="s">
        <v>43</v>
      </c>
      <c r="N37" s="228">
        <f>IF(COUNT(N17:N36), SUM(N17:N36) / COUNT(N17:N36), 0)</f>
        <v>1.8615038590366832E-2</v>
      </c>
      <c r="O37" s="208">
        <f>SUM(O17:O36)</f>
        <v>55845.115771100514</v>
      </c>
      <c r="Q37" s="303"/>
      <c r="R37" s="304"/>
      <c r="S37" s="305"/>
    </row>
    <row r="38" spans="1:19" ht="17.25" customHeight="1"/>
    <row r="39" spans="1:19" ht="17.25" customHeight="1" thickBot="1"/>
    <row r="40" spans="1:19" ht="17.25" customHeight="1" thickBot="1">
      <c r="A40" s="249" t="s">
        <v>44</v>
      </c>
      <c r="B40" s="250"/>
      <c r="C40" s="250"/>
      <c r="D40" s="250"/>
      <c r="E40" s="250"/>
      <c r="F40" s="250"/>
      <c r="G40" s="250"/>
      <c r="H40" s="250"/>
      <c r="I40" s="250"/>
      <c r="J40" s="250"/>
      <c r="K40" s="250"/>
      <c r="L40" s="250"/>
      <c r="M40" s="250"/>
      <c r="N40" s="250"/>
      <c r="O40" s="251"/>
      <c r="Q40" s="270"/>
      <c r="R40" s="270"/>
      <c r="S40" s="270"/>
    </row>
    <row r="41" spans="1:19" ht="17.25" customHeight="1" thickBot="1">
      <c r="A41" s="225" t="s">
        <v>298</v>
      </c>
      <c r="B41" s="249" t="s">
        <v>36</v>
      </c>
      <c r="C41" s="251"/>
      <c r="D41" s="249" t="s">
        <v>58</v>
      </c>
      <c r="E41" s="250"/>
      <c r="F41" s="251"/>
      <c r="G41" s="276">
        <f>_xlfn.IFNA(VLOOKUP(B41, 현재가테이블!$B$2:$D$200, 2, FALSE), "-")</f>
        <v>60874000</v>
      </c>
      <c r="H41" s="277"/>
      <c r="I41" s="278"/>
      <c r="J41" s="249" t="s">
        <v>59</v>
      </c>
      <c r="K41" s="250"/>
      <c r="L41" s="251"/>
      <c r="M41" s="279">
        <f>_xlfn.IFNA(VLOOKUP(B41, 현재가테이블!$B$2:$D$200, 3, FALSE), "-")</f>
        <v>-1.4936000099999999E-2</v>
      </c>
      <c r="N41" s="280"/>
      <c r="O41" s="281"/>
      <c r="Q41" s="270"/>
      <c r="R41" s="270"/>
      <c r="S41" s="270"/>
    </row>
    <row r="42" spans="1:19" ht="17.25" customHeight="1" thickBot="1">
      <c r="A42" s="310" t="s">
        <v>55</v>
      </c>
      <c r="B42" s="312" t="str">
        <f>TEXT($G$1, "[$-ko-KR]yyyy-mm-dd(ddd) ") &amp; "오전 00:00"</f>
        <v>2021-05-14(금) 오전 00:00</v>
      </c>
      <c r="C42" s="313"/>
      <c r="D42" s="249" t="str">
        <f>TEXT($G$1, "[$-ko-KR]yyyy-mm-dd(ddd) ") &amp; "오후 14:00"</f>
        <v>2021-05-14(금) 오후 14:00</v>
      </c>
      <c r="E42" s="250"/>
      <c r="F42" s="251"/>
      <c r="G42" s="249" t="str">
        <f>TEXT($G$1, "[$-ko-KR]yyyy-mm-dd(ddd) ") &amp; "오후 19:00"</f>
        <v>2021-05-14(금) 오후 19:00</v>
      </c>
      <c r="H42" s="250"/>
      <c r="I42" s="251"/>
      <c r="J42" s="249" t="str">
        <f>TEXT($G$1, "[$-ko-KR]yyyy-mm-dd(ddd) ") &amp; "오후 21:00"</f>
        <v>2021-05-14(금) 오후 21:00</v>
      </c>
      <c r="K42" s="250"/>
      <c r="L42" s="251"/>
      <c r="M42" s="249" t="str">
        <f>TEXT($G$1+1, "[$-ko-KR]yyyy-mm-dd(ddd) ") &amp; "오전 00:00"</f>
        <v>2021-05-15(토) 오전 00:00</v>
      </c>
      <c r="N42" s="250"/>
      <c r="O42" s="251"/>
      <c r="Q42" s="270"/>
      <c r="R42" s="270"/>
      <c r="S42" s="270"/>
    </row>
    <row r="43" spans="1:19" ht="17.25" customHeight="1" thickBot="1">
      <c r="A43" s="311"/>
      <c r="B43" s="120" t="s">
        <v>58</v>
      </c>
      <c r="C43" s="121" t="s">
        <v>59</v>
      </c>
      <c r="D43" s="120" t="s">
        <v>58</v>
      </c>
      <c r="E43" s="121" t="s">
        <v>299</v>
      </c>
      <c r="F43" s="232" t="s">
        <v>300</v>
      </c>
      <c r="G43" s="225" t="s">
        <v>58</v>
      </c>
      <c r="H43" s="226" t="s">
        <v>299</v>
      </c>
      <c r="I43" s="227" t="s">
        <v>300</v>
      </c>
      <c r="J43" s="121" t="s">
        <v>58</v>
      </c>
      <c r="K43" s="121" t="s">
        <v>299</v>
      </c>
      <c r="L43" s="230" t="s">
        <v>300</v>
      </c>
      <c r="M43" s="120" t="s">
        <v>58</v>
      </c>
      <c r="N43" s="121" t="s">
        <v>299</v>
      </c>
      <c r="O43" s="231" t="s">
        <v>300</v>
      </c>
      <c r="Q43" s="275"/>
      <c r="R43" s="275"/>
      <c r="S43" s="275"/>
    </row>
    <row r="44" spans="1:19" ht="17.25" customHeight="1" thickBot="1">
      <c r="A44" s="122" t="s">
        <v>220</v>
      </c>
      <c r="B44" s="123">
        <v>16.899999999999999</v>
      </c>
      <c r="C44" s="72">
        <v>8.3333333300000006E-2</v>
      </c>
      <c r="D44" s="123">
        <v>18.399999999999999</v>
      </c>
      <c r="E44" s="72">
        <f>IF(ISNUMBER(D44), (D44 - $B44) / $B44, "")</f>
        <v>8.8757396449704151E-2</v>
      </c>
      <c r="F44" s="140">
        <f>IF(ISNUMBER(D44), $B64 * E44, "")</f>
        <v>13313.609467455623</v>
      </c>
      <c r="G44" s="38">
        <v>18</v>
      </c>
      <c r="H44" s="72">
        <f>IF(ISNUMBER(G44), (G44 - $B44) / $B44, "")</f>
        <v>6.5088757396449801E-2</v>
      </c>
      <c r="I44" s="201">
        <f>IF(ISNUMBER(G44), $B64 * H44, "")</f>
        <v>9763.3136094674701</v>
      </c>
      <c r="J44" s="123">
        <v>18</v>
      </c>
      <c r="K44" s="72">
        <f>IF(ISNUMBER(J44), (J44 - $B44) / $B44, "")</f>
        <v>6.5088757396449801E-2</v>
      </c>
      <c r="L44" s="140">
        <f>IF(ISNUMBER(J44), $B64 * K44, "")</f>
        <v>9763.3136094674701</v>
      </c>
      <c r="M44" s="38">
        <v>17.899999999999999</v>
      </c>
      <c r="N44" s="72">
        <f>IF(ISNUMBER(M44), (M44 - $B44) / $B44, "")</f>
        <v>5.9171597633136098E-2</v>
      </c>
      <c r="O44" s="140">
        <f>IF(ISNUMBER(M44), $B64 * N44, "")</f>
        <v>8875.7396449704156</v>
      </c>
      <c r="Q44" s="270"/>
      <c r="R44" s="270"/>
      <c r="S44" s="270"/>
    </row>
    <row r="45" spans="1:19" ht="17.25" customHeight="1" thickBot="1">
      <c r="A45" s="124" t="s">
        <v>268</v>
      </c>
      <c r="B45" s="125">
        <v>77.900000000000006</v>
      </c>
      <c r="C45" s="73">
        <v>5.41271989E-2</v>
      </c>
      <c r="D45" s="125">
        <v>79.3</v>
      </c>
      <c r="E45" s="73">
        <f t="shared" ref="E45:E48" si="14">IF(ISNUMBER(D45), (D45 - $B45) / $B45, "")</f>
        <v>1.797175866495496E-2</v>
      </c>
      <c r="F45" s="136">
        <f>IF(ISNUMBER(D45), $B64 * E45, "")</f>
        <v>2695.7637997432439</v>
      </c>
      <c r="G45" s="39">
        <v>78.900000000000006</v>
      </c>
      <c r="H45" s="73">
        <f t="shared" ref="H45:H48" si="15">IF(ISNUMBER(G45), (G45 - $B45) / $B45, "")</f>
        <v>1.2836970474967907E-2</v>
      </c>
      <c r="I45" s="202">
        <f>IF(ISNUMBER(G45), $B64 * H45, "")</f>
        <v>1925.545571245186</v>
      </c>
      <c r="J45" s="125">
        <v>80.8</v>
      </c>
      <c r="K45" s="73">
        <f t="shared" ref="K45:K48" si="16">IF(ISNUMBER(J45), (J45 - $B45) / $B45, "")</f>
        <v>3.7227214377406823E-2</v>
      </c>
      <c r="L45" s="136">
        <f>IF(ISNUMBER(J45), $B64 * K45, "")</f>
        <v>5584.0821566110235</v>
      </c>
      <c r="M45" s="39">
        <v>79.5</v>
      </c>
      <c r="N45" s="73">
        <f t="shared" ref="N45:N48" si="17">IF(ISNUMBER(M45), (M45 - $B45) / $B45, "")</f>
        <v>2.0539152759948578E-2</v>
      </c>
      <c r="O45" s="136">
        <f>IF(ISNUMBER(M45), $B64 * N45, "")</f>
        <v>3080.8729139922866</v>
      </c>
      <c r="Q45" s="270"/>
      <c r="R45" s="270"/>
      <c r="S45" s="270"/>
    </row>
    <row r="46" spans="1:19" ht="17.25" customHeight="1" thickBot="1">
      <c r="A46" s="124" t="s">
        <v>126</v>
      </c>
      <c r="B46" s="125">
        <v>49</v>
      </c>
      <c r="C46" s="73">
        <v>5.3763440900000001E-2</v>
      </c>
      <c r="D46" s="125">
        <v>49.5</v>
      </c>
      <c r="E46" s="73">
        <f t="shared" si="14"/>
        <v>1.020408163265306E-2</v>
      </c>
      <c r="F46" s="136">
        <f>IF(ISNUMBER(D46), $B64 * E46, "")</f>
        <v>1530.612244897959</v>
      </c>
      <c r="G46" s="39">
        <v>49.9</v>
      </c>
      <c r="H46" s="73">
        <f t="shared" si="15"/>
        <v>1.8367346938775481E-2</v>
      </c>
      <c r="I46" s="202">
        <f>IF(ISNUMBER(G46), $B64 * H46, "")</f>
        <v>2755.1020408163222</v>
      </c>
      <c r="J46" s="125">
        <v>51.8</v>
      </c>
      <c r="K46" s="73">
        <f t="shared" si="16"/>
        <v>5.7142857142857086E-2</v>
      </c>
      <c r="L46" s="136">
        <f>IF(ISNUMBER(J46), $B64 * K46, "")</f>
        <v>8571.4285714285634</v>
      </c>
      <c r="M46" s="39">
        <v>52</v>
      </c>
      <c r="N46" s="73">
        <f t="shared" si="17"/>
        <v>6.1224489795918366E-2</v>
      </c>
      <c r="O46" s="136">
        <f>IF(ISNUMBER(M46), $B64 * N46, "")</f>
        <v>9183.6734693877552</v>
      </c>
      <c r="Q46" s="275"/>
      <c r="R46" s="275"/>
      <c r="S46" s="275"/>
    </row>
    <row r="47" spans="1:19" ht="17.25" customHeight="1" thickBot="1">
      <c r="A47" s="124" t="s">
        <v>266</v>
      </c>
      <c r="B47" s="125">
        <v>83.1</v>
      </c>
      <c r="C47" s="73">
        <v>4.7919293799999998E-2</v>
      </c>
      <c r="D47" s="125">
        <v>84.5</v>
      </c>
      <c r="E47" s="73">
        <f t="shared" si="14"/>
        <v>1.684717208182919E-2</v>
      </c>
      <c r="F47" s="136">
        <f>IF(ISNUMBER(D47), $B64 * E47, "")</f>
        <v>2527.0758122743787</v>
      </c>
      <c r="G47" s="39">
        <v>85.7</v>
      </c>
      <c r="H47" s="73">
        <f t="shared" si="15"/>
        <v>3.1287605294825618E-2</v>
      </c>
      <c r="I47" s="202">
        <f>IF(ISNUMBER(G47), $B64 * H47, "")</f>
        <v>4693.1407942238429</v>
      </c>
      <c r="J47" s="125">
        <v>84.4</v>
      </c>
      <c r="K47" s="73">
        <f t="shared" si="16"/>
        <v>1.5643802647412892E-2</v>
      </c>
      <c r="L47" s="136">
        <f>IF(ISNUMBER(J47), $B64 * K47, "")</f>
        <v>2346.5703971119337</v>
      </c>
      <c r="M47" s="39">
        <v>85.5</v>
      </c>
      <c r="N47" s="73">
        <f t="shared" si="17"/>
        <v>2.888086642599285E-2</v>
      </c>
      <c r="O47" s="136">
        <f>IF(ISNUMBER(M47), $B64 * N47, "")</f>
        <v>4332.1299638989276</v>
      </c>
      <c r="Q47" s="275"/>
      <c r="R47" s="275"/>
      <c r="S47" s="275"/>
    </row>
    <row r="48" spans="1:19" ht="17.25" customHeight="1" thickBot="1">
      <c r="A48" s="126" t="s">
        <v>186</v>
      </c>
      <c r="B48" s="127">
        <v>21</v>
      </c>
      <c r="C48" s="74">
        <v>4.4776119400000002E-2</v>
      </c>
      <c r="D48" s="127">
        <v>24.7</v>
      </c>
      <c r="E48" s="74">
        <f t="shared" si="14"/>
        <v>0.17619047619047615</v>
      </c>
      <c r="F48" s="203">
        <f>IF(ISNUMBER(D48), $B64 * E48, "")</f>
        <v>26428.571428571424</v>
      </c>
      <c r="G48" s="44">
        <v>23.1</v>
      </c>
      <c r="H48" s="74">
        <f t="shared" si="15"/>
        <v>0.10000000000000006</v>
      </c>
      <c r="I48" s="204">
        <f>IF(ISNUMBER(G48), $B64 * H48, "")</f>
        <v>15000.000000000009</v>
      </c>
      <c r="J48" s="127">
        <v>22.9</v>
      </c>
      <c r="K48" s="74">
        <f t="shared" si="16"/>
        <v>9.0476190476190405E-2</v>
      </c>
      <c r="L48" s="203">
        <f>IF(ISNUMBER(J48), $B64 * K48, "")</f>
        <v>13571.428571428562</v>
      </c>
      <c r="M48" s="44">
        <v>23.4</v>
      </c>
      <c r="N48" s="74">
        <f t="shared" si="17"/>
        <v>0.11428571428571421</v>
      </c>
      <c r="O48" s="203">
        <f>IF(ISNUMBER(M48), $B64 * N48, "")</f>
        <v>17142.85714285713</v>
      </c>
      <c r="Q48" s="275"/>
      <c r="R48" s="275"/>
      <c r="S48" s="275"/>
    </row>
    <row r="49" spans="1:19" ht="17.25" customHeight="1" thickBot="1">
      <c r="A49" s="124" t="s">
        <v>65</v>
      </c>
      <c r="B49" s="128">
        <v>62.8</v>
      </c>
      <c r="C49" s="76">
        <v>4.3189368800000003E-2</v>
      </c>
      <c r="D49" s="128">
        <v>63.7</v>
      </c>
      <c r="E49" s="76">
        <f>IF(ISNUMBER(D49), (D49 - $B49) / $B49, "")</f>
        <v>1.4331210191082893E-2</v>
      </c>
      <c r="F49" s="205">
        <f>IF(ISNUMBER(D49), $B64 * E49, "")</f>
        <v>2149.6815286624342</v>
      </c>
      <c r="G49" s="45">
        <v>65.7</v>
      </c>
      <c r="H49" s="76">
        <f>IF(ISNUMBER(G49), (G49 - $B49) / $B49, "")</f>
        <v>4.617834394904468E-2</v>
      </c>
      <c r="I49" s="206">
        <f>IF(ISNUMBER(G49), $B64 * H49, "")</f>
        <v>6926.7515923567016</v>
      </c>
      <c r="J49" s="128">
        <v>65.2</v>
      </c>
      <c r="K49" s="76">
        <f>IF(ISNUMBER(J49), (J49 - $B49) / $B49, "")</f>
        <v>3.8216560509554236E-2</v>
      </c>
      <c r="L49" s="205">
        <f>IF(ISNUMBER(J49), $B64 * K49, "")</f>
        <v>5732.4840764331357</v>
      </c>
      <c r="M49" s="45">
        <v>64.400000000000006</v>
      </c>
      <c r="N49" s="76">
        <f>IF(ISNUMBER(M49), (M49 - $B49) / $B49, "")</f>
        <v>2.5477707006369563E-2</v>
      </c>
      <c r="O49" s="205">
        <f>IF(ISNUMBER(M49), $B64 * N49, "")</f>
        <v>3821.6560509554347</v>
      </c>
      <c r="Q49" s="275"/>
      <c r="R49" s="275"/>
      <c r="S49" s="275"/>
    </row>
    <row r="50" spans="1:19" ht="17.25" customHeight="1" thickBot="1">
      <c r="A50" s="124" t="s">
        <v>152</v>
      </c>
      <c r="B50" s="125">
        <v>38.799999999999997</v>
      </c>
      <c r="C50" s="73">
        <v>4.0214477200000001E-2</v>
      </c>
      <c r="D50" s="125">
        <v>38.9</v>
      </c>
      <c r="E50" s="73">
        <f t="shared" ref="E50:E53" si="18">IF(ISNUMBER(D50), (D50 - $B50) / $B50, "")</f>
        <v>2.5773195876289028E-3</v>
      </c>
      <c r="F50" s="136">
        <f>IF(ISNUMBER(D50), $B64 * E50, "")</f>
        <v>386.59793814433544</v>
      </c>
      <c r="G50" s="39">
        <v>39.700000000000003</v>
      </c>
      <c r="H50" s="73">
        <f t="shared" ref="H50:H53" si="19">IF(ISNUMBER(G50), (G50 - $B50) / $B50, "")</f>
        <v>2.319587628865994E-2</v>
      </c>
      <c r="I50" s="202">
        <f>IF(ISNUMBER(G50), $B64 * H50, "")</f>
        <v>3479.3814432989911</v>
      </c>
      <c r="J50" s="125">
        <v>39.6</v>
      </c>
      <c r="K50" s="73">
        <f t="shared" ref="K50:K53" si="20">IF(ISNUMBER(J50), (J50 - $B50) / $B50, "")</f>
        <v>2.0618556701031038E-2</v>
      </c>
      <c r="L50" s="136">
        <f>IF(ISNUMBER(J50), $B64 * K50, "")</f>
        <v>3092.7835051546558</v>
      </c>
      <c r="M50" s="39">
        <v>39.9</v>
      </c>
      <c r="N50" s="73">
        <f t="shared" ref="N50:N53" si="21">IF(ISNUMBER(M50), (M50 - $B50) / $B50, "")</f>
        <v>2.8350515463917564E-2</v>
      </c>
      <c r="O50" s="136">
        <f>IF(ISNUMBER(M50), $B64 * N50, "")</f>
        <v>4252.5773195876345</v>
      </c>
      <c r="Q50" s="275"/>
      <c r="R50" s="275"/>
      <c r="S50" s="275"/>
    </row>
    <row r="51" spans="1:19" ht="17.25" customHeight="1" thickBot="1">
      <c r="A51" s="124" t="s">
        <v>72</v>
      </c>
      <c r="B51" s="125">
        <v>31.5</v>
      </c>
      <c r="C51" s="73">
        <v>3.9603960399999999E-2</v>
      </c>
      <c r="D51" s="125">
        <v>31.8</v>
      </c>
      <c r="E51" s="73">
        <f t="shared" si="18"/>
        <v>9.5238095238095472E-3</v>
      </c>
      <c r="F51" s="136">
        <f>IF(ISNUMBER(D51), $B64 * E51, "")</f>
        <v>1428.5714285714321</v>
      </c>
      <c r="G51" s="39">
        <v>32.299999999999997</v>
      </c>
      <c r="H51" s="73">
        <f t="shared" si="19"/>
        <v>2.5396825396825307E-2</v>
      </c>
      <c r="I51" s="202">
        <f>IF(ISNUMBER(G51), $B64 * H51, "")</f>
        <v>3809.523809523796</v>
      </c>
      <c r="J51" s="125">
        <v>32.1</v>
      </c>
      <c r="K51" s="73">
        <f t="shared" si="20"/>
        <v>1.9047619047619094E-2</v>
      </c>
      <c r="L51" s="136">
        <f>IF(ISNUMBER(J51), $B64 * K51, "")</f>
        <v>2857.1428571428642</v>
      </c>
      <c r="M51" s="39">
        <v>31.7</v>
      </c>
      <c r="N51" s="73">
        <f t="shared" si="21"/>
        <v>6.3492063492063266E-3</v>
      </c>
      <c r="O51" s="136">
        <f>IF(ISNUMBER(M51), $B64 * N51, "")</f>
        <v>952.380952380949</v>
      </c>
      <c r="Q51" s="275"/>
      <c r="R51" s="275"/>
      <c r="S51" s="275"/>
    </row>
    <row r="52" spans="1:19" ht="17.25" customHeight="1" thickBot="1">
      <c r="A52" s="124" t="s">
        <v>254</v>
      </c>
      <c r="B52" s="125">
        <v>72.900000000000006</v>
      </c>
      <c r="C52" s="73">
        <v>3.6984352800000002E-2</v>
      </c>
      <c r="D52" s="125">
        <v>71.599999999999994</v>
      </c>
      <c r="E52" s="73">
        <f t="shared" si="18"/>
        <v>-1.7832647462277248E-2</v>
      </c>
      <c r="F52" s="136">
        <f>IF(ISNUMBER(D52), $B64 * E52, "")</f>
        <v>-2674.8971193415873</v>
      </c>
      <c r="G52" s="39">
        <v>72.599999999999994</v>
      </c>
      <c r="H52" s="73">
        <f t="shared" si="19"/>
        <v>-4.1152263374487153E-3</v>
      </c>
      <c r="I52" s="202">
        <f>IF(ISNUMBER(G52), $B64 * H52, "")</f>
        <v>-617.28395061730726</v>
      </c>
      <c r="J52" s="125">
        <v>73.3</v>
      </c>
      <c r="K52" s="73">
        <f t="shared" si="20"/>
        <v>5.4869684499312954E-3</v>
      </c>
      <c r="L52" s="136">
        <f>IF(ISNUMBER(J52), $B64 * K52, "")</f>
        <v>823.04526748969431</v>
      </c>
      <c r="M52" s="39">
        <v>72.900000000000006</v>
      </c>
      <c r="N52" s="73">
        <f t="shared" si="21"/>
        <v>0</v>
      </c>
      <c r="O52" s="136">
        <f>IF(ISNUMBER(M52), $B64 * N52, "")</f>
        <v>0</v>
      </c>
      <c r="Q52" s="33"/>
      <c r="R52" s="33"/>
    </row>
    <row r="53" spans="1:19" ht="17.25" customHeight="1" thickBot="1">
      <c r="A53" s="129" t="s">
        <v>222</v>
      </c>
      <c r="B53" s="130">
        <v>15.7</v>
      </c>
      <c r="C53" s="75">
        <v>3.2894736799999998E-2</v>
      </c>
      <c r="D53" s="130">
        <v>16</v>
      </c>
      <c r="E53" s="75">
        <f t="shared" si="18"/>
        <v>1.9108280254777118E-2</v>
      </c>
      <c r="F53" s="137">
        <f>IF(ISNUMBER(D53), $B64 * E53, "")</f>
        <v>2866.2420382165678</v>
      </c>
      <c r="G53" s="37">
        <v>16</v>
      </c>
      <c r="H53" s="75">
        <f t="shared" si="19"/>
        <v>1.9108280254777118E-2</v>
      </c>
      <c r="I53" s="207">
        <f>IF(ISNUMBER(G53), $B64 * H53, "")</f>
        <v>2866.2420382165678</v>
      </c>
      <c r="J53" s="130">
        <v>16</v>
      </c>
      <c r="K53" s="75">
        <f t="shared" si="20"/>
        <v>1.9108280254777118E-2</v>
      </c>
      <c r="L53" s="137">
        <f>IF(ISNUMBER(J53), $B64 * K53, "")</f>
        <v>2866.2420382165678</v>
      </c>
      <c r="M53" s="37">
        <v>16.100000000000001</v>
      </c>
      <c r="N53" s="75">
        <f t="shared" si="21"/>
        <v>2.5477707006369563E-2</v>
      </c>
      <c r="O53" s="137">
        <f>IF(ISNUMBER(M53), $B64 * N53, "")</f>
        <v>3821.6560509554347</v>
      </c>
      <c r="Q53" s="284"/>
      <c r="R53" s="285"/>
      <c r="S53" s="286"/>
    </row>
    <row r="54" spans="1:19" ht="17.25" customHeight="1">
      <c r="A54" s="122" t="s">
        <v>100</v>
      </c>
      <c r="B54" s="123">
        <v>7.39</v>
      </c>
      <c r="C54" s="72">
        <v>3.0683403099999999E-2</v>
      </c>
      <c r="D54" s="123">
        <v>7.43</v>
      </c>
      <c r="E54" s="72">
        <f>IF(ISNUMBER(D54), (D54 - $B54) / $B54, "")</f>
        <v>5.4127198917456069E-3</v>
      </c>
      <c r="F54" s="140">
        <f>IF(ISNUMBER(D54), $B64 * E54, "")</f>
        <v>811.90798376184102</v>
      </c>
      <c r="G54" s="38">
        <v>7.52</v>
      </c>
      <c r="H54" s="72">
        <f>IF(ISNUMBER(G54), (G54 - $B54) / $B54, "")</f>
        <v>1.7591339648173193E-2</v>
      </c>
      <c r="I54" s="201">
        <f>IF(ISNUMBER(G54), $B64 * H54, "")</f>
        <v>2638.7009472259788</v>
      </c>
      <c r="J54" s="123">
        <v>7.56</v>
      </c>
      <c r="K54" s="72">
        <f>IF(ISNUMBER(J54), (J54 - $B54) / $B54, "")</f>
        <v>2.3004059539918801E-2</v>
      </c>
      <c r="L54" s="140">
        <f>IF(ISNUMBER(J54), $B64 * K54, "")</f>
        <v>3450.6089309878203</v>
      </c>
      <c r="M54" s="38">
        <v>7.53</v>
      </c>
      <c r="N54" s="72">
        <f>IF(ISNUMBER(M54), (M54 - $B54) / $B54, "")</f>
        <v>1.8944519621109684E-2</v>
      </c>
      <c r="O54" s="140">
        <f>IF(ISNUMBER(M54), $B64 * N54, "")</f>
        <v>2841.6779431664527</v>
      </c>
      <c r="Q54" s="287"/>
      <c r="R54" s="288"/>
      <c r="S54" s="289"/>
    </row>
    <row r="55" spans="1:19" ht="17.25" customHeight="1" thickBot="1">
      <c r="A55" s="124" t="s">
        <v>198</v>
      </c>
      <c r="B55" s="125">
        <v>23.8</v>
      </c>
      <c r="C55" s="73">
        <v>3.0303030299999999E-2</v>
      </c>
      <c r="D55" s="125">
        <v>24</v>
      </c>
      <c r="E55" s="73">
        <f t="shared" ref="E55:E58" si="22">IF(ISNUMBER(D55), (D55 - $B55) / $B55, "")</f>
        <v>8.4033613445377853E-3</v>
      </c>
      <c r="F55" s="136">
        <f>IF(ISNUMBER(D55), $B64 * E55, "")</f>
        <v>1260.5042016806678</v>
      </c>
      <c r="G55" s="39">
        <v>24.2</v>
      </c>
      <c r="H55" s="73">
        <f t="shared" ref="H55:H58" si="23">IF(ISNUMBER(G55), (G55 - $B55) / $B55, "")</f>
        <v>1.6806722689075571E-2</v>
      </c>
      <c r="I55" s="202">
        <f>IF(ISNUMBER(G55), $B64 * H55, "")</f>
        <v>2521.0084033613357</v>
      </c>
      <c r="J55" s="125">
        <v>24.2</v>
      </c>
      <c r="K55" s="73">
        <f t="shared" ref="K55:K58" si="24">IF(ISNUMBER(J55), (J55 - $B55) / $B55, "")</f>
        <v>1.6806722689075571E-2</v>
      </c>
      <c r="L55" s="136">
        <f>IF(ISNUMBER(J55), $B64 * K55, "")</f>
        <v>2521.0084033613357</v>
      </c>
      <c r="M55" s="39">
        <v>24.1</v>
      </c>
      <c r="N55" s="73">
        <f t="shared" ref="N55:N58" si="25">IF(ISNUMBER(M55), (M55 - $B55) / $B55, "")</f>
        <v>1.2605042016806753E-2</v>
      </c>
      <c r="O55" s="136">
        <f>IF(ISNUMBER(M55), $B64 * N55, "")</f>
        <v>1890.7563025210129</v>
      </c>
      <c r="Q55" s="290"/>
      <c r="R55" s="291"/>
      <c r="S55" s="292"/>
    </row>
    <row r="56" spans="1:19" ht="17.25" customHeight="1" thickBot="1">
      <c r="A56" s="124" t="s">
        <v>196</v>
      </c>
      <c r="B56" s="125">
        <v>17.399999999999999</v>
      </c>
      <c r="C56" s="73">
        <v>2.95857988E-2</v>
      </c>
      <c r="D56" s="125">
        <v>17.899999999999999</v>
      </c>
      <c r="E56" s="73">
        <f t="shared" si="22"/>
        <v>2.8735632183908049E-2</v>
      </c>
      <c r="F56" s="136">
        <f>IF(ISNUMBER(D56), $B64 * E56, "")</f>
        <v>4310.3448275862074</v>
      </c>
      <c r="G56" s="39">
        <v>17.8</v>
      </c>
      <c r="H56" s="73">
        <f t="shared" si="23"/>
        <v>2.2988505747126561E-2</v>
      </c>
      <c r="I56" s="202">
        <f>IF(ISNUMBER(G56), $B64 * H56, "")</f>
        <v>3448.2758620689842</v>
      </c>
      <c r="J56" s="125">
        <v>17.7</v>
      </c>
      <c r="K56" s="73">
        <f t="shared" si="24"/>
        <v>1.7241379310344869E-2</v>
      </c>
      <c r="L56" s="136">
        <f>IF(ISNUMBER(J56), $B64 * K56, "")</f>
        <v>2586.2068965517306</v>
      </c>
      <c r="M56" s="39">
        <v>17.8</v>
      </c>
      <c r="N56" s="73">
        <f t="shared" si="25"/>
        <v>2.2988505747126561E-2</v>
      </c>
      <c r="O56" s="136">
        <f>IF(ISNUMBER(M56), $B64 * N56, "")</f>
        <v>3448.2758620689842</v>
      </c>
      <c r="Q56" s="275"/>
      <c r="R56" s="275"/>
      <c r="S56" s="275"/>
    </row>
    <row r="57" spans="1:19" ht="17.25" customHeight="1" thickBot="1">
      <c r="A57" s="124" t="s">
        <v>218</v>
      </c>
      <c r="B57" s="125">
        <v>23</v>
      </c>
      <c r="C57" s="73">
        <v>2.6785714299999999E-2</v>
      </c>
      <c r="D57" s="125">
        <v>23.6</v>
      </c>
      <c r="E57" s="73">
        <f t="shared" si="22"/>
        <v>2.6086956521739191E-2</v>
      </c>
      <c r="F57" s="136">
        <f>IF(ISNUMBER(D57), $B64 * E57, "")</f>
        <v>3913.0434782608786</v>
      </c>
      <c r="G57" s="39">
        <v>23.7</v>
      </c>
      <c r="H57" s="73">
        <f t="shared" si="23"/>
        <v>3.0434782608695622E-2</v>
      </c>
      <c r="I57" s="202">
        <f>IF(ISNUMBER(G57), $B64 * H57, "")</f>
        <v>4565.2173913043434</v>
      </c>
      <c r="J57" s="125">
        <v>23.3</v>
      </c>
      <c r="K57" s="73">
        <f t="shared" si="24"/>
        <v>1.3043478260869596E-2</v>
      </c>
      <c r="L57" s="136">
        <f>IF(ISNUMBER(J57), $B64 * K57, "")</f>
        <v>1956.5217391304393</v>
      </c>
      <c r="M57" s="39">
        <v>23.6</v>
      </c>
      <c r="N57" s="73">
        <f t="shared" si="25"/>
        <v>2.6086956521739191E-2</v>
      </c>
      <c r="O57" s="136">
        <f>IF(ISNUMBER(M57), $B64 * N57, "")</f>
        <v>3913.0434782608786</v>
      </c>
      <c r="Q57" s="270"/>
      <c r="R57" s="270"/>
      <c r="S57" s="270"/>
    </row>
    <row r="58" spans="1:19" ht="17.25" customHeight="1" thickBot="1">
      <c r="A58" s="126" t="s">
        <v>154</v>
      </c>
      <c r="B58" s="127">
        <v>17.5</v>
      </c>
      <c r="C58" s="74">
        <v>2.33918129E-2</v>
      </c>
      <c r="D58" s="127">
        <v>17.899999999999999</v>
      </c>
      <c r="E58" s="74">
        <f t="shared" si="22"/>
        <v>2.2857142857142777E-2</v>
      </c>
      <c r="F58" s="203">
        <f>IF(ISNUMBER(D58), $B64 * E58, "")</f>
        <v>3428.5714285714166</v>
      </c>
      <c r="G58" s="44">
        <v>17.8</v>
      </c>
      <c r="H58" s="74">
        <f t="shared" si="23"/>
        <v>1.7142857142857182E-2</v>
      </c>
      <c r="I58" s="204">
        <f>IF(ISNUMBER(G58), $B64 * H58, "")</f>
        <v>2571.4285714285775</v>
      </c>
      <c r="J58" s="127">
        <v>17.899999999999999</v>
      </c>
      <c r="K58" s="74">
        <f t="shared" si="24"/>
        <v>2.2857142857142777E-2</v>
      </c>
      <c r="L58" s="203">
        <f>IF(ISNUMBER(J58), $B64 * K58, "")</f>
        <v>3428.5714285714166</v>
      </c>
      <c r="M58" s="44">
        <v>17.8</v>
      </c>
      <c r="N58" s="74">
        <f t="shared" si="25"/>
        <v>1.7142857142857182E-2</v>
      </c>
      <c r="O58" s="203">
        <f>IF(ISNUMBER(M58), $B64 * N58, "")</f>
        <v>2571.4285714285775</v>
      </c>
      <c r="Q58" s="270"/>
      <c r="R58" s="270"/>
      <c r="S58" s="270"/>
    </row>
    <row r="59" spans="1:19" ht="17.25" customHeight="1" thickBot="1">
      <c r="A59" s="124" t="s">
        <v>214</v>
      </c>
      <c r="B59" s="128">
        <v>19.5</v>
      </c>
      <c r="C59" s="76">
        <v>2.0942408400000001E-2</v>
      </c>
      <c r="D59" s="128">
        <v>19.2</v>
      </c>
      <c r="E59" s="76">
        <f>IF(ISNUMBER(D59), (D59 - $B59) / $B59, "")</f>
        <v>-1.5384615384615422E-2</v>
      </c>
      <c r="F59" s="205">
        <f>IF(ISNUMBER(D59), $B64 * E59, "")</f>
        <v>-2307.6923076923131</v>
      </c>
      <c r="G59" s="45">
        <v>19.3</v>
      </c>
      <c r="H59" s="76">
        <f>IF(ISNUMBER(G59), (G59 - $B59) / $B59, "")</f>
        <v>-1.025641025641022E-2</v>
      </c>
      <c r="I59" s="206">
        <f>IF(ISNUMBER(G59), $B64 * H59, "")</f>
        <v>-1538.4615384615331</v>
      </c>
      <c r="J59" s="128">
        <v>19.399999999999999</v>
      </c>
      <c r="K59" s="76">
        <f>IF(ISNUMBER(J59), (J59 - $B59) / $B59, "")</f>
        <v>-5.1282051282052011E-3</v>
      </c>
      <c r="L59" s="205">
        <f>IF(ISNUMBER(J59), $B64 * K59, "")</f>
        <v>-769.2307692307802</v>
      </c>
      <c r="M59" s="45">
        <v>19.5</v>
      </c>
      <c r="N59" s="76">
        <f>IF(ISNUMBER(M59), (M59 - $B59) / $B59, "")</f>
        <v>0</v>
      </c>
      <c r="O59" s="205">
        <f>IF(ISNUMBER(M59), $B64 * N59, "")</f>
        <v>0</v>
      </c>
      <c r="Q59" s="275"/>
      <c r="R59" s="275"/>
      <c r="S59" s="275"/>
    </row>
    <row r="60" spans="1:19" ht="17.25" customHeight="1" thickBot="1">
      <c r="A60" s="124" t="s">
        <v>228</v>
      </c>
      <c r="B60" s="125">
        <v>15.8</v>
      </c>
      <c r="C60" s="73">
        <v>1.9354838700000002E-2</v>
      </c>
      <c r="D60" s="125">
        <v>15.9</v>
      </c>
      <c r="E60" s="73">
        <f t="shared" ref="E60:E63" si="26">IF(ISNUMBER(D60), (D60 - $B60) / $B60, "")</f>
        <v>6.3291139240506103E-3</v>
      </c>
      <c r="F60" s="136">
        <f>IF(ISNUMBER(D60), $B64 * E60, "")</f>
        <v>949.36708860759154</v>
      </c>
      <c r="G60" s="39">
        <v>15.9</v>
      </c>
      <c r="H60" s="73">
        <f t="shared" ref="H60:H63" si="27">IF(ISNUMBER(G60), (G60 - $B60) / $B60, "")</f>
        <v>6.3291139240506103E-3</v>
      </c>
      <c r="I60" s="202">
        <f>IF(ISNUMBER(G60), $B64 * H60, "")</f>
        <v>949.36708860759154</v>
      </c>
      <c r="J60" s="125">
        <v>15.9</v>
      </c>
      <c r="K60" s="73">
        <f t="shared" ref="K60:K63" si="28">IF(ISNUMBER(J60), (J60 - $B60) / $B60, "")</f>
        <v>6.3291139240506103E-3</v>
      </c>
      <c r="L60" s="136">
        <f>IF(ISNUMBER(J60), $B64 * K60, "")</f>
        <v>949.36708860759154</v>
      </c>
      <c r="M60" s="39">
        <v>16</v>
      </c>
      <c r="N60" s="73">
        <f t="shared" ref="N60:N63" si="29">IF(ISNUMBER(M60), (M60 - $B60) / $B60, "")</f>
        <v>1.2658227848101221E-2</v>
      </c>
      <c r="O60" s="136">
        <f>IF(ISNUMBER(M60), $B64 * N60, "")</f>
        <v>1898.7341772151831</v>
      </c>
      <c r="Q60" s="275"/>
      <c r="R60" s="275"/>
      <c r="S60" s="275"/>
    </row>
    <row r="61" spans="1:19" ht="17.25" customHeight="1" thickBot="1">
      <c r="A61" s="124" t="s">
        <v>236</v>
      </c>
      <c r="B61" s="125">
        <v>72.2</v>
      </c>
      <c r="C61" s="73">
        <v>-2.82637954E-2</v>
      </c>
      <c r="D61" s="125">
        <v>69</v>
      </c>
      <c r="E61" s="73">
        <f t="shared" si="26"/>
        <v>-4.4321329639889231E-2</v>
      </c>
      <c r="F61" s="136">
        <f>IF(ISNUMBER(D61), $B64 * E61, "")</f>
        <v>-6648.199445983385</v>
      </c>
      <c r="G61" s="39">
        <v>68.900000000000006</v>
      </c>
      <c r="H61" s="73">
        <f t="shared" si="27"/>
        <v>-4.5706371191135693E-2</v>
      </c>
      <c r="I61" s="202">
        <f>IF(ISNUMBER(G61), $B64 * H61, "")</f>
        <v>-6855.9556786703542</v>
      </c>
      <c r="J61" s="125">
        <v>69.099999999999994</v>
      </c>
      <c r="K61" s="73">
        <f t="shared" si="28"/>
        <v>-4.2936288088642777E-2</v>
      </c>
      <c r="L61" s="136">
        <f>IF(ISNUMBER(J61), $B64 * K61, "")</f>
        <v>-6440.4432132964166</v>
      </c>
      <c r="M61" s="39">
        <v>69.099999999999994</v>
      </c>
      <c r="N61" s="73">
        <f t="shared" si="29"/>
        <v>-4.2936288088642777E-2</v>
      </c>
      <c r="O61" s="136">
        <f>IF(ISNUMBER(M61), $B64 * N61, "")</f>
        <v>-6440.4432132964166</v>
      </c>
      <c r="Q61" s="275"/>
      <c r="R61" s="275"/>
      <c r="S61" s="275"/>
    </row>
    <row r="62" spans="1:19" ht="17.25" customHeight="1">
      <c r="A62" s="124" t="s">
        <v>172</v>
      </c>
      <c r="B62" s="125">
        <v>23.8</v>
      </c>
      <c r="C62" s="73">
        <v>-8.4615384599999996E-2</v>
      </c>
      <c r="D62" s="125">
        <v>23</v>
      </c>
      <c r="E62" s="73">
        <f t="shared" si="26"/>
        <v>-3.3613445378151287E-2</v>
      </c>
      <c r="F62" s="136">
        <f>IF(ISNUMBER(D62), $B64 * E62, "")</f>
        <v>-5042.0168067226932</v>
      </c>
      <c r="G62" s="39">
        <v>23.1</v>
      </c>
      <c r="H62" s="73">
        <f t="shared" si="27"/>
        <v>-2.9411764705882321E-2</v>
      </c>
      <c r="I62" s="202">
        <f>IF(ISNUMBER(G62), $B64 * H62, "")</f>
        <v>-4411.7647058823486</v>
      </c>
      <c r="J62" s="125">
        <v>23.1</v>
      </c>
      <c r="K62" s="73">
        <f t="shared" si="28"/>
        <v>-2.9411764705882321E-2</v>
      </c>
      <c r="L62" s="136">
        <f>IF(ISNUMBER(J62), $B64 * K62, "")</f>
        <v>-4411.7647058823486</v>
      </c>
      <c r="M62" s="39">
        <v>23</v>
      </c>
      <c r="N62" s="73">
        <f t="shared" si="29"/>
        <v>-3.3613445378151287E-2</v>
      </c>
      <c r="O62" s="136">
        <f>IF(ISNUMBER(M62), $B64 * N62, "")</f>
        <v>-5042.0168067226932</v>
      </c>
      <c r="Q62" s="297"/>
      <c r="R62" s="298"/>
      <c r="S62" s="299"/>
    </row>
    <row r="63" spans="1:19" ht="17.25" customHeight="1" thickBot="1">
      <c r="A63" s="129" t="s">
        <v>303</v>
      </c>
      <c r="B63" s="130">
        <v>141</v>
      </c>
      <c r="C63" s="75">
        <v>4.4400000000000002E-2</v>
      </c>
      <c r="D63" s="130">
        <v>147</v>
      </c>
      <c r="E63" s="75">
        <f t="shared" si="26"/>
        <v>4.2553191489361701E-2</v>
      </c>
      <c r="F63" s="137">
        <f>IF(ISNUMBER(D63), $B64 * E63, "")</f>
        <v>6382.9787234042551</v>
      </c>
      <c r="G63" s="37">
        <v>148</v>
      </c>
      <c r="H63" s="75">
        <f t="shared" si="27"/>
        <v>4.9645390070921988E-2</v>
      </c>
      <c r="I63" s="207">
        <f>IF(ISNUMBER(G63), $B64 * H63, "")</f>
        <v>7446.8085106382978</v>
      </c>
      <c r="J63" s="130">
        <v>146</v>
      </c>
      <c r="K63" s="75">
        <f t="shared" si="28"/>
        <v>3.5460992907801421E-2</v>
      </c>
      <c r="L63" s="137">
        <f>IF(ISNUMBER(J63), $B64 * K63, "")</f>
        <v>5319.1489361702133</v>
      </c>
      <c r="M63" s="37">
        <v>144</v>
      </c>
      <c r="N63" s="75">
        <f t="shared" si="29"/>
        <v>2.1276595744680851E-2</v>
      </c>
      <c r="O63" s="137">
        <f>IF(ISNUMBER(M63), $B64 * N63, "")</f>
        <v>3191.4893617021276</v>
      </c>
      <c r="Q63" s="300"/>
      <c r="R63" s="301"/>
      <c r="S63" s="302"/>
    </row>
    <row r="64" spans="1:19" ht="17.25" customHeight="1" thickBot="1">
      <c r="A64" s="131" t="s">
        <v>301</v>
      </c>
      <c r="B64" s="308">
        <f>$B$37</f>
        <v>150000</v>
      </c>
      <c r="C64" s="309"/>
      <c r="D64" s="131" t="s">
        <v>302</v>
      </c>
      <c r="E64" s="228">
        <f>IF(COUNT(E44:E63), SUM(E44:E63) / COUNT(E44:E63), 0)</f>
        <v>1.9236879246223429E-2</v>
      </c>
      <c r="F64" s="208">
        <f>SUM(F44:F63)</f>
        <v>57710.637738670273</v>
      </c>
      <c r="G64" s="131" t="s">
        <v>302</v>
      </c>
      <c r="H64" s="228">
        <f>IF(COUNT(H44:H63), SUM(H44:H63) / COUNT(H44:H63), 0)</f>
        <v>2.0645447266717489E-2</v>
      </c>
      <c r="I64" s="208">
        <f>SUM(I44:I63)</f>
        <v>61936.341800152455</v>
      </c>
      <c r="J64" s="131" t="s">
        <v>302</v>
      </c>
      <c r="K64" s="228">
        <f>IF(COUNT(K44:K63), SUM(K44:K63) / COUNT(K44:K63), 0)</f>
        <v>2.1266171928485157E-2</v>
      </c>
      <c r="L64" s="208">
        <f>SUM(L44:L63)</f>
        <v>63798.515785455471</v>
      </c>
      <c r="M64" s="131" t="s">
        <v>302</v>
      </c>
      <c r="N64" s="228">
        <f>IF(COUNT(N44:N63), SUM(N44:N63) / COUNT(N44:N63), 0)</f>
        <v>2.1245496395110031E-2</v>
      </c>
      <c r="O64" s="208">
        <f>SUM(O44:O63)</f>
        <v>63736.48918533008</v>
      </c>
      <c r="Q64" s="303"/>
      <c r="R64" s="304"/>
      <c r="S64" s="305"/>
    </row>
    <row r="65" spans="1:19" ht="17.25" customHeight="1"/>
    <row r="66" spans="1:19" ht="17.25" customHeight="1" thickBot="1"/>
    <row r="67" spans="1:19" ht="17.25" thickBot="1">
      <c r="A67" s="249" t="s">
        <v>45</v>
      </c>
      <c r="B67" s="250"/>
      <c r="C67" s="250"/>
      <c r="D67" s="250"/>
      <c r="E67" s="250"/>
      <c r="F67" s="250"/>
      <c r="G67" s="250"/>
      <c r="H67" s="250"/>
      <c r="I67" s="250"/>
      <c r="J67" s="250"/>
      <c r="K67" s="250"/>
      <c r="L67" s="250"/>
      <c r="M67" s="250"/>
      <c r="N67" s="250"/>
      <c r="O67" s="251"/>
      <c r="Q67" s="270"/>
      <c r="R67" s="270"/>
      <c r="S67" s="270"/>
    </row>
    <row r="68" spans="1:19" ht="17.25" thickBot="1">
      <c r="A68" s="225" t="s">
        <v>298</v>
      </c>
      <c r="B68" s="249" t="s">
        <v>49</v>
      </c>
      <c r="C68" s="251"/>
      <c r="D68" s="249" t="s">
        <v>58</v>
      </c>
      <c r="E68" s="250"/>
      <c r="F68" s="251"/>
      <c r="G68" s="276">
        <f>_xlfn.IFNA(VLOOKUP(B68, 현재가테이블!$B$2:$D$200, 2, FALSE), "-")</f>
        <v>60874000</v>
      </c>
      <c r="H68" s="277"/>
      <c r="I68" s="278"/>
      <c r="J68" s="249" t="s">
        <v>59</v>
      </c>
      <c r="K68" s="250"/>
      <c r="L68" s="251"/>
      <c r="M68" s="279">
        <f>_xlfn.IFNA(VLOOKUP(B68, 현재가테이블!$B$2:$D$200, 3, FALSE), "-")</f>
        <v>-1.4936000099999999E-2</v>
      </c>
      <c r="N68" s="280"/>
      <c r="O68" s="281"/>
      <c r="Q68" s="270"/>
      <c r="R68" s="270"/>
      <c r="S68" s="270"/>
    </row>
    <row r="69" spans="1:19" ht="17.25" thickBot="1">
      <c r="A69" s="310" t="s">
        <v>55</v>
      </c>
      <c r="B69" s="312" t="str">
        <f>TEXT($G$1, "[$-ko-KR]yyyy-mm-dd(ddd) ") &amp; "오전 00:00"</f>
        <v>2021-05-14(금) 오전 00:00</v>
      </c>
      <c r="C69" s="313"/>
      <c r="D69" s="249" t="str">
        <f>TEXT($G$1, "[$-ko-KR]yyyy-mm-dd(ddd) ") &amp; "오후 14:00"</f>
        <v>2021-05-14(금) 오후 14:00</v>
      </c>
      <c r="E69" s="250"/>
      <c r="F69" s="251"/>
      <c r="G69" s="249" t="str">
        <f>TEXT($G$1, "[$-ko-KR]yyyy-mm-dd(ddd) ") &amp; "오후 19:00"</f>
        <v>2021-05-14(금) 오후 19:00</v>
      </c>
      <c r="H69" s="250"/>
      <c r="I69" s="251"/>
      <c r="J69" s="249" t="str">
        <f>TEXT($G$1, "[$-ko-KR]yyyy-mm-dd(ddd) ") &amp; "오후 21:00"</f>
        <v>2021-05-14(금) 오후 21:00</v>
      </c>
      <c r="K69" s="250"/>
      <c r="L69" s="251"/>
      <c r="M69" s="249" t="str">
        <f>TEXT($G$1+1, "[$-ko-KR]yyyy-mm-dd(ddd) ") &amp; "오전 00:00"</f>
        <v>2021-05-15(토) 오전 00:00</v>
      </c>
      <c r="N69" s="250"/>
      <c r="O69" s="251"/>
      <c r="Q69" s="270"/>
      <c r="R69" s="270"/>
      <c r="S69" s="270"/>
    </row>
    <row r="70" spans="1:19" ht="17.25" thickBot="1">
      <c r="A70" s="311"/>
      <c r="B70" s="120" t="s">
        <v>58</v>
      </c>
      <c r="C70" s="121" t="s">
        <v>59</v>
      </c>
      <c r="D70" s="120" t="s">
        <v>58</v>
      </c>
      <c r="E70" s="121" t="s">
        <v>299</v>
      </c>
      <c r="F70" s="232" t="s">
        <v>300</v>
      </c>
      <c r="G70" s="225" t="s">
        <v>58</v>
      </c>
      <c r="H70" s="226" t="s">
        <v>299</v>
      </c>
      <c r="I70" s="227" t="s">
        <v>300</v>
      </c>
      <c r="J70" s="121" t="s">
        <v>58</v>
      </c>
      <c r="K70" s="121" t="s">
        <v>299</v>
      </c>
      <c r="L70" s="230" t="s">
        <v>300</v>
      </c>
      <c r="M70" s="120" t="s">
        <v>58</v>
      </c>
      <c r="N70" s="121" t="s">
        <v>299</v>
      </c>
      <c r="O70" s="231" t="s">
        <v>300</v>
      </c>
      <c r="Q70" s="275"/>
      <c r="R70" s="275"/>
      <c r="S70" s="275"/>
    </row>
    <row r="71" spans="1:19" ht="17.25" thickBot="1">
      <c r="A71" s="122" t="s">
        <v>54</v>
      </c>
      <c r="B71" s="123">
        <v>333</v>
      </c>
      <c r="C71" s="72">
        <v>0.1174496644</v>
      </c>
      <c r="D71" s="123">
        <v>466</v>
      </c>
      <c r="E71" s="72">
        <f>IF(ISNUMBER(D71), (D71 - $B71) / $B71, "")</f>
        <v>0.39939939939939939</v>
      </c>
      <c r="F71" s="140">
        <f>IF(ISNUMBER(D71), $B91 * E71, "")</f>
        <v>59909.909909909911</v>
      </c>
      <c r="G71" s="38">
        <v>425</v>
      </c>
      <c r="H71" s="72">
        <f>IF(ISNUMBER(G71), (G71 - $B71) / $B71, "")</f>
        <v>0.27627627627627627</v>
      </c>
      <c r="I71" s="201">
        <f>IF(ISNUMBER(G71), $B91 * H71, "")</f>
        <v>41441.441441441442</v>
      </c>
      <c r="J71" s="123">
        <v>418</v>
      </c>
      <c r="K71" s="72">
        <f>IF(ISNUMBER(J71), (J71 - $B71) / $B71, "")</f>
        <v>0.25525525525525528</v>
      </c>
      <c r="L71" s="140">
        <f>IF(ISNUMBER(J71), $B91 * K71, "")</f>
        <v>38288.288288288291</v>
      </c>
      <c r="M71" s="38">
        <v>402</v>
      </c>
      <c r="N71" s="72">
        <f>IF(ISNUMBER(M71), (M71 - $B71) / $B71, "")</f>
        <v>0.2072072072072072</v>
      </c>
      <c r="O71" s="140">
        <f>IF(ISNUMBER(M71), $B91 * N71, "")</f>
        <v>31081.08108108108</v>
      </c>
      <c r="Q71" s="270"/>
      <c r="R71" s="270"/>
      <c r="S71" s="270"/>
    </row>
    <row r="72" spans="1:19" ht="17.25" thickBot="1">
      <c r="A72" s="124" t="s">
        <v>258</v>
      </c>
      <c r="B72" s="125">
        <v>624</v>
      </c>
      <c r="C72" s="73">
        <v>0.11428571429999999</v>
      </c>
      <c r="D72" s="125">
        <v>592</v>
      </c>
      <c r="E72" s="73">
        <f t="shared" ref="E72:E75" si="30">IF(ISNUMBER(D72), (D72 - $B72) / $B72, "")</f>
        <v>-5.128205128205128E-2</v>
      </c>
      <c r="F72" s="136">
        <f>IF(ISNUMBER(D72), $B91 * E72, "")</f>
        <v>-7692.3076923076924</v>
      </c>
      <c r="G72" s="39">
        <v>599</v>
      </c>
      <c r="H72" s="73">
        <f t="shared" ref="H72:H75" si="31">IF(ISNUMBER(G72), (G72 - $B72) / $B72, "")</f>
        <v>-4.0064102564102567E-2</v>
      </c>
      <c r="I72" s="202">
        <f>IF(ISNUMBER(G72), $B91 * H72, "")</f>
        <v>-6009.6153846153848</v>
      </c>
      <c r="J72" s="125">
        <v>603</v>
      </c>
      <c r="K72" s="73">
        <f t="shared" ref="K72:K75" si="32">IF(ISNUMBER(J72), (J72 - $B72) / $B72, "")</f>
        <v>-3.3653846153846152E-2</v>
      </c>
      <c r="L72" s="136">
        <f>IF(ISNUMBER(J72), $B91 * K72, "")</f>
        <v>-5048.0769230769229</v>
      </c>
      <c r="M72" s="39">
        <v>600</v>
      </c>
      <c r="N72" s="73">
        <f t="shared" ref="N72:N75" si="33">IF(ISNUMBER(M72), (M72 - $B72) / $B72, "")</f>
        <v>-3.8461538461538464E-2</v>
      </c>
      <c r="O72" s="136">
        <f>IF(ISNUMBER(M72), $B91 * N72, "")</f>
        <v>-5769.2307692307695</v>
      </c>
      <c r="Q72" s="270"/>
      <c r="R72" s="270"/>
      <c r="S72" s="270"/>
    </row>
    <row r="73" spans="1:19" ht="17.25" thickBot="1">
      <c r="A73" s="124" t="s">
        <v>142</v>
      </c>
      <c r="B73" s="125">
        <v>411</v>
      </c>
      <c r="C73" s="73">
        <v>0.1138211382</v>
      </c>
      <c r="D73" s="125">
        <v>421</v>
      </c>
      <c r="E73" s="73">
        <f t="shared" si="30"/>
        <v>2.4330900243309004E-2</v>
      </c>
      <c r="F73" s="136">
        <f>IF(ISNUMBER(D73), $B91 * E73, "")</f>
        <v>3649.6350364963505</v>
      </c>
      <c r="G73" s="39">
        <v>420</v>
      </c>
      <c r="H73" s="73">
        <f t="shared" si="31"/>
        <v>2.1897810218978103E-2</v>
      </c>
      <c r="I73" s="202">
        <f>IF(ISNUMBER(G73), $B91 * H73, "")</f>
        <v>3284.6715328467153</v>
      </c>
      <c r="J73" s="125">
        <v>418</v>
      </c>
      <c r="K73" s="73">
        <f t="shared" si="32"/>
        <v>1.7031630170316302E-2</v>
      </c>
      <c r="L73" s="136">
        <f>IF(ISNUMBER(J73), $B91 * K73, "")</f>
        <v>2554.7445255474454</v>
      </c>
      <c r="M73" s="39">
        <v>415</v>
      </c>
      <c r="N73" s="73">
        <f t="shared" si="33"/>
        <v>9.7323600973236012E-3</v>
      </c>
      <c r="O73" s="136">
        <f>IF(ISNUMBER(M73), $B91 * N73, "")</f>
        <v>1459.8540145985403</v>
      </c>
      <c r="Q73" s="275"/>
      <c r="R73" s="275"/>
      <c r="S73" s="275"/>
    </row>
    <row r="74" spans="1:19" ht="17.25" thickBot="1">
      <c r="A74" s="124" t="s">
        <v>216</v>
      </c>
      <c r="B74" s="125">
        <v>439</v>
      </c>
      <c r="C74" s="73">
        <v>0.1057934509</v>
      </c>
      <c r="D74" s="125">
        <v>432</v>
      </c>
      <c r="E74" s="73">
        <f t="shared" si="30"/>
        <v>-1.5945330296127564E-2</v>
      </c>
      <c r="F74" s="136">
        <f>IF(ISNUMBER(D74), $B91 * E74, "")</f>
        <v>-2391.7995444191347</v>
      </c>
      <c r="G74" s="39">
        <v>433</v>
      </c>
      <c r="H74" s="73">
        <f t="shared" si="31"/>
        <v>-1.366742596810934E-2</v>
      </c>
      <c r="I74" s="202">
        <f>IF(ISNUMBER(G74), $B91 * H74, "")</f>
        <v>-2050.113895216401</v>
      </c>
      <c r="J74" s="125">
        <v>436</v>
      </c>
      <c r="K74" s="73">
        <f t="shared" si="32"/>
        <v>-6.8337129840546698E-3</v>
      </c>
      <c r="L74" s="136">
        <f>IF(ISNUMBER(J74), $B91 * K74, "")</f>
        <v>-1025.0569476082005</v>
      </c>
      <c r="M74" s="39">
        <v>444</v>
      </c>
      <c r="N74" s="73">
        <f t="shared" si="33"/>
        <v>1.1389521640091117E-2</v>
      </c>
      <c r="O74" s="136">
        <f>IF(ISNUMBER(M74), $B91 * N74, "")</f>
        <v>1708.4282460136676</v>
      </c>
      <c r="Q74" s="275"/>
      <c r="R74" s="275"/>
      <c r="S74" s="275"/>
    </row>
    <row r="75" spans="1:19" ht="17.25" thickBot="1">
      <c r="A75" s="126" t="s">
        <v>132</v>
      </c>
      <c r="B75" s="127">
        <v>226</v>
      </c>
      <c r="C75" s="74">
        <v>9.1787439600000006E-2</v>
      </c>
      <c r="D75" s="127">
        <v>227</v>
      </c>
      <c r="E75" s="74">
        <f t="shared" si="30"/>
        <v>4.4247787610619468E-3</v>
      </c>
      <c r="F75" s="203">
        <f>IF(ISNUMBER(D75), $B91 * E75, "")</f>
        <v>663.71681415929197</v>
      </c>
      <c r="G75" s="44">
        <v>229</v>
      </c>
      <c r="H75" s="74">
        <f t="shared" si="31"/>
        <v>1.3274336283185841E-2</v>
      </c>
      <c r="I75" s="204">
        <f>IF(ISNUMBER(G75), $B91 * H75, "")</f>
        <v>1991.1504424778761</v>
      </c>
      <c r="J75" s="127">
        <v>230</v>
      </c>
      <c r="K75" s="74">
        <f t="shared" si="32"/>
        <v>1.7699115044247787E-2</v>
      </c>
      <c r="L75" s="203">
        <f>IF(ISNUMBER(J75), $B91 * K75, "")</f>
        <v>2654.8672566371679</v>
      </c>
      <c r="M75" s="44">
        <v>229</v>
      </c>
      <c r="N75" s="74">
        <f t="shared" si="33"/>
        <v>1.3274336283185841E-2</v>
      </c>
      <c r="O75" s="203">
        <f>IF(ISNUMBER(M75), $B91 * N75, "")</f>
        <v>1991.1504424778761</v>
      </c>
      <c r="Q75" s="275"/>
      <c r="R75" s="275"/>
      <c r="S75" s="275"/>
    </row>
    <row r="76" spans="1:19" ht="17.25" thickBot="1">
      <c r="A76" s="124" t="s">
        <v>122</v>
      </c>
      <c r="B76" s="128">
        <v>106</v>
      </c>
      <c r="C76" s="76">
        <v>8.49539406E-2</v>
      </c>
      <c r="D76" s="128">
        <v>103</v>
      </c>
      <c r="E76" s="76">
        <f>IF(ISNUMBER(D76), (D76 - $B76) / $B76, "")</f>
        <v>-2.8301886792452831E-2</v>
      </c>
      <c r="F76" s="205">
        <f>IF(ISNUMBER(D76), $B91 * E76, "")</f>
        <v>-4245.2830188679245</v>
      </c>
      <c r="G76" s="45">
        <v>104</v>
      </c>
      <c r="H76" s="76">
        <f>IF(ISNUMBER(G76), (G76 - $B76) / $B76, "")</f>
        <v>-1.8867924528301886E-2</v>
      </c>
      <c r="I76" s="206">
        <f>IF(ISNUMBER(G76), $B91 * H76, "")</f>
        <v>-2830.1886792452829</v>
      </c>
      <c r="J76" s="128">
        <v>104</v>
      </c>
      <c r="K76" s="76">
        <f>IF(ISNUMBER(J76), (J76 - $B76) / $B76, "")</f>
        <v>-1.8867924528301886E-2</v>
      </c>
      <c r="L76" s="205">
        <f>IF(ISNUMBER(J76), $B91 * K76, "")</f>
        <v>-2830.1886792452829</v>
      </c>
      <c r="M76" s="45">
        <v>104</v>
      </c>
      <c r="N76" s="76">
        <f>IF(ISNUMBER(M76), (M76 - $B76) / $B76, "")</f>
        <v>-1.8867924528301886E-2</v>
      </c>
      <c r="O76" s="205">
        <f>IF(ISNUMBER(M76), $B91 * N76, "")</f>
        <v>-2830.1886792452829</v>
      </c>
      <c r="Q76" s="275"/>
      <c r="R76" s="275"/>
      <c r="S76" s="275"/>
    </row>
    <row r="77" spans="1:19" ht="17.25" thickBot="1">
      <c r="A77" s="124" t="s">
        <v>256</v>
      </c>
      <c r="B77" s="125">
        <v>229</v>
      </c>
      <c r="C77" s="73">
        <v>8.0188679200000001E-2</v>
      </c>
      <c r="D77" s="125">
        <v>235</v>
      </c>
      <c r="E77" s="73">
        <f t="shared" ref="E77:E80" si="34">IF(ISNUMBER(D77), (D77 - $B77) / $B77, "")</f>
        <v>2.6200873362445413E-2</v>
      </c>
      <c r="F77" s="136">
        <f>IF(ISNUMBER(D77), $B91 * E77, "")</f>
        <v>3930.1310043668122</v>
      </c>
      <c r="G77" s="39">
        <v>239</v>
      </c>
      <c r="H77" s="73">
        <f t="shared" ref="H77:H80" si="35">IF(ISNUMBER(G77), (G77 - $B77) / $B77, "")</f>
        <v>4.3668122270742356E-2</v>
      </c>
      <c r="I77" s="202">
        <f>IF(ISNUMBER(G77), $B91 * H77, "")</f>
        <v>6550.2183406113536</v>
      </c>
      <c r="J77" s="125">
        <v>239</v>
      </c>
      <c r="K77" s="73">
        <f t="shared" ref="K77:K80" si="36">IF(ISNUMBER(J77), (J77 - $B77) / $B77, "")</f>
        <v>4.3668122270742356E-2</v>
      </c>
      <c r="L77" s="136">
        <f>IF(ISNUMBER(J77), $B91 * K77, "")</f>
        <v>6550.2183406113536</v>
      </c>
      <c r="M77" s="39">
        <v>241</v>
      </c>
      <c r="N77" s="73">
        <f t="shared" ref="N77:N80" si="37">IF(ISNUMBER(M77), (M77 - $B77) / $B77, "")</f>
        <v>5.2401746724890827E-2</v>
      </c>
      <c r="O77" s="136">
        <f>IF(ISNUMBER(M77), $B91 * N77, "")</f>
        <v>7860.2620087336245</v>
      </c>
      <c r="Q77" s="275"/>
      <c r="R77" s="275"/>
      <c r="S77" s="275"/>
    </row>
    <row r="78" spans="1:19" ht="17.25" thickBot="1">
      <c r="A78" s="124" t="s">
        <v>230</v>
      </c>
      <c r="B78" s="125">
        <v>145</v>
      </c>
      <c r="C78" s="73">
        <v>6.6176470599999995E-2</v>
      </c>
      <c r="D78" s="125">
        <v>150</v>
      </c>
      <c r="E78" s="73">
        <f t="shared" si="34"/>
        <v>3.4482758620689655E-2</v>
      </c>
      <c r="F78" s="136">
        <f>IF(ISNUMBER(D78), $B91 * E78, "")</f>
        <v>5172.4137931034484</v>
      </c>
      <c r="G78" s="39">
        <v>148</v>
      </c>
      <c r="H78" s="73">
        <f t="shared" si="35"/>
        <v>2.0689655172413793E-2</v>
      </c>
      <c r="I78" s="202">
        <f>IF(ISNUMBER(G78), $B91 * H78, "")</f>
        <v>3103.4482758620688</v>
      </c>
      <c r="J78" s="125">
        <v>147</v>
      </c>
      <c r="K78" s="73">
        <f t="shared" si="36"/>
        <v>1.3793103448275862E-2</v>
      </c>
      <c r="L78" s="136">
        <f>IF(ISNUMBER(J78), $B91 * K78, "")</f>
        <v>2068.9655172413791</v>
      </c>
      <c r="M78" s="39">
        <v>146</v>
      </c>
      <c r="N78" s="73">
        <f t="shared" si="37"/>
        <v>6.8965517241379309E-3</v>
      </c>
      <c r="O78" s="136">
        <f>IF(ISNUMBER(M78), $B91 * N78, "")</f>
        <v>1034.4827586206895</v>
      </c>
      <c r="Q78" s="275"/>
      <c r="R78" s="275"/>
      <c r="S78" s="275"/>
    </row>
    <row r="79" spans="1:19" ht="17.25" thickBot="1">
      <c r="A79" s="124" t="s">
        <v>88</v>
      </c>
      <c r="B79" s="125">
        <v>525</v>
      </c>
      <c r="C79" s="73">
        <v>6.4908722099999996E-2</v>
      </c>
      <c r="D79" s="125">
        <v>535</v>
      </c>
      <c r="E79" s="73">
        <f t="shared" si="34"/>
        <v>1.9047619047619049E-2</v>
      </c>
      <c r="F79" s="136">
        <f>IF(ISNUMBER(D79), $B91 * E79, "")</f>
        <v>2857.1428571428573</v>
      </c>
      <c r="G79" s="39">
        <v>538</v>
      </c>
      <c r="H79" s="73">
        <f t="shared" si="35"/>
        <v>2.4761904761904763E-2</v>
      </c>
      <c r="I79" s="202">
        <f>IF(ISNUMBER(G79), $B91 * H79, "")</f>
        <v>3714.2857142857142</v>
      </c>
      <c r="J79" s="125">
        <v>541</v>
      </c>
      <c r="K79" s="73">
        <f t="shared" si="36"/>
        <v>3.0476190476190476E-2</v>
      </c>
      <c r="L79" s="136">
        <f>IF(ISNUMBER(J79), $B91 * K79, "")</f>
        <v>4571.4285714285716</v>
      </c>
      <c r="M79" s="39">
        <v>540</v>
      </c>
      <c r="N79" s="73">
        <f t="shared" si="37"/>
        <v>2.8571428571428571E-2</v>
      </c>
      <c r="O79" s="136">
        <f>IF(ISNUMBER(M79), $B91 * N79, "")</f>
        <v>4285.7142857142853</v>
      </c>
      <c r="Q79" s="33"/>
      <c r="R79" s="33"/>
    </row>
    <row r="80" spans="1:19" ht="17.25" thickBot="1">
      <c r="A80" s="129" t="s">
        <v>260</v>
      </c>
      <c r="B80" s="130">
        <v>115</v>
      </c>
      <c r="C80" s="75">
        <v>6.4814814799999995E-2</v>
      </c>
      <c r="D80" s="130">
        <v>119</v>
      </c>
      <c r="E80" s="75">
        <f t="shared" si="34"/>
        <v>3.4782608695652174E-2</v>
      </c>
      <c r="F80" s="137">
        <f>IF(ISNUMBER(D80), $B91 * E80, "")</f>
        <v>5217.391304347826</v>
      </c>
      <c r="G80" s="37">
        <v>124</v>
      </c>
      <c r="H80" s="75">
        <f t="shared" si="35"/>
        <v>7.8260869565217397E-2</v>
      </c>
      <c r="I80" s="207">
        <f>IF(ISNUMBER(G80), $B91 * H80, "")</f>
        <v>11739.13043478261</v>
      </c>
      <c r="J80" s="130">
        <v>123</v>
      </c>
      <c r="K80" s="75">
        <f t="shared" si="36"/>
        <v>6.9565217391304349E-2</v>
      </c>
      <c r="L80" s="137">
        <f>IF(ISNUMBER(J80), $B91 * K80, "")</f>
        <v>10434.782608695652</v>
      </c>
      <c r="M80" s="37">
        <v>123</v>
      </c>
      <c r="N80" s="75">
        <f t="shared" si="37"/>
        <v>6.9565217391304349E-2</v>
      </c>
      <c r="O80" s="137">
        <f>IF(ISNUMBER(M80), $B91 * N80, "")</f>
        <v>10434.782608695652</v>
      </c>
      <c r="Q80" s="284"/>
      <c r="R80" s="285"/>
      <c r="S80" s="286"/>
    </row>
    <row r="81" spans="1:19">
      <c r="A81" s="122" t="s">
        <v>136</v>
      </c>
      <c r="B81" s="123">
        <v>237</v>
      </c>
      <c r="C81" s="72">
        <v>6.2780269099999994E-2</v>
      </c>
      <c r="D81" s="123">
        <v>234</v>
      </c>
      <c r="E81" s="72">
        <f>IF(ISNUMBER(D81), (D81 - $B81) / $B81, "")</f>
        <v>-1.2658227848101266E-2</v>
      </c>
      <c r="F81" s="140">
        <f>IF(ISNUMBER(D81), $B91 * E81, "")</f>
        <v>-1898.7341772151899</v>
      </c>
      <c r="G81" s="38">
        <v>239</v>
      </c>
      <c r="H81" s="72">
        <f>IF(ISNUMBER(G81), (G81 - $B81) / $B81, "")</f>
        <v>8.4388185654008432E-3</v>
      </c>
      <c r="I81" s="201">
        <f>IF(ISNUMBER(G81), $B91 * H81, "")</f>
        <v>1265.8227848101264</v>
      </c>
      <c r="J81" s="123">
        <v>245</v>
      </c>
      <c r="K81" s="72">
        <f>IF(ISNUMBER(J81), (J81 - $B81) / $B81, "")</f>
        <v>3.3755274261603373E-2</v>
      </c>
      <c r="L81" s="140">
        <f>IF(ISNUMBER(J81), $B91 * K81, "")</f>
        <v>5063.2911392405058</v>
      </c>
      <c r="M81" s="38">
        <v>243</v>
      </c>
      <c r="N81" s="72">
        <f>IF(ISNUMBER(M81), (M81 - $B81) / $B81, "")</f>
        <v>2.5316455696202531E-2</v>
      </c>
      <c r="O81" s="140">
        <f>IF(ISNUMBER(M81), $B91 * N81, "")</f>
        <v>3797.4683544303798</v>
      </c>
      <c r="Q81" s="287"/>
      <c r="R81" s="288"/>
      <c r="S81" s="289"/>
    </row>
    <row r="82" spans="1:19" ht="17.25" thickBot="1">
      <c r="A82" s="124" t="s">
        <v>174</v>
      </c>
      <c r="B82" s="125">
        <v>243</v>
      </c>
      <c r="C82" s="73">
        <v>6.1135371199999997E-2</v>
      </c>
      <c r="D82" s="125">
        <v>254</v>
      </c>
      <c r="E82" s="73">
        <f t="shared" ref="E82:E85" si="38">IF(ISNUMBER(D82), (D82 - $B82) / $B82, "")</f>
        <v>4.5267489711934158E-2</v>
      </c>
      <c r="F82" s="136">
        <f>IF(ISNUMBER(D82), $B91 * E82, "")</f>
        <v>6790.1234567901238</v>
      </c>
      <c r="G82" s="39">
        <v>257</v>
      </c>
      <c r="H82" s="73">
        <f t="shared" ref="H82:H85" si="39">IF(ISNUMBER(G82), (G82 - $B82) / $B82, "")</f>
        <v>5.7613168724279837E-2</v>
      </c>
      <c r="I82" s="202">
        <f>IF(ISNUMBER(G82), $B91 * H82, "")</f>
        <v>8641.9753086419751</v>
      </c>
      <c r="J82" s="125">
        <v>252</v>
      </c>
      <c r="K82" s="73">
        <f t="shared" ref="K82:K85" si="40">IF(ISNUMBER(J82), (J82 - $B82) / $B82, "")</f>
        <v>3.7037037037037035E-2</v>
      </c>
      <c r="L82" s="136">
        <f>IF(ISNUMBER(J82), $B91 * K82, "")</f>
        <v>5555.5555555555557</v>
      </c>
      <c r="M82" s="39">
        <v>252</v>
      </c>
      <c r="N82" s="73">
        <f t="shared" ref="N82:N85" si="41">IF(ISNUMBER(M82), (M82 - $B82) / $B82, "")</f>
        <v>3.7037037037037035E-2</v>
      </c>
      <c r="O82" s="136">
        <f>IF(ISNUMBER(M82), $B91 * N82, "")</f>
        <v>5555.5555555555557</v>
      </c>
      <c r="Q82" s="290"/>
      <c r="R82" s="291"/>
      <c r="S82" s="292"/>
    </row>
    <row r="83" spans="1:19" ht="17.25" thickBot="1">
      <c r="A83" s="124" t="s">
        <v>120</v>
      </c>
      <c r="B83" s="125">
        <v>199</v>
      </c>
      <c r="C83" s="73">
        <v>5.8510638300000001E-2</v>
      </c>
      <c r="D83" s="125">
        <v>198</v>
      </c>
      <c r="E83" s="73">
        <f t="shared" si="38"/>
        <v>-5.0251256281407036E-3</v>
      </c>
      <c r="F83" s="136">
        <f>IF(ISNUMBER(D83), $B91 * E83, "")</f>
        <v>-753.7688442211055</v>
      </c>
      <c r="G83" s="39">
        <v>201</v>
      </c>
      <c r="H83" s="73">
        <f t="shared" si="39"/>
        <v>1.0050251256281407E-2</v>
      </c>
      <c r="I83" s="202">
        <f>IF(ISNUMBER(G83), $B91 * H83, "")</f>
        <v>1507.537688442211</v>
      </c>
      <c r="J83" s="125">
        <v>204</v>
      </c>
      <c r="K83" s="73">
        <f t="shared" si="40"/>
        <v>2.5125628140703519E-2</v>
      </c>
      <c r="L83" s="136">
        <f>IF(ISNUMBER(J83), $B91 * K83, "")</f>
        <v>3768.844221105528</v>
      </c>
      <c r="M83" s="39">
        <v>204</v>
      </c>
      <c r="N83" s="73">
        <f t="shared" si="41"/>
        <v>2.5125628140703519E-2</v>
      </c>
      <c r="O83" s="136">
        <f>IF(ISNUMBER(M83), $B91 * N83, "")</f>
        <v>3768.844221105528</v>
      </c>
      <c r="Q83" s="275"/>
      <c r="R83" s="275"/>
      <c r="S83" s="275"/>
    </row>
    <row r="84" spans="1:19" ht="17.25" thickBot="1">
      <c r="A84" s="124" t="s">
        <v>240</v>
      </c>
      <c r="B84" s="125">
        <v>149</v>
      </c>
      <c r="C84" s="73">
        <v>5.6737588700000001E-2</v>
      </c>
      <c r="D84" s="125">
        <v>165</v>
      </c>
      <c r="E84" s="73">
        <f t="shared" si="38"/>
        <v>0.10738255033557047</v>
      </c>
      <c r="F84" s="136">
        <f>IF(ISNUMBER(D84), $B91 * E84, "")</f>
        <v>16107.382550335569</v>
      </c>
      <c r="G84" s="39">
        <v>161</v>
      </c>
      <c r="H84" s="73">
        <f t="shared" si="39"/>
        <v>8.0536912751677847E-2</v>
      </c>
      <c r="I84" s="202">
        <f>IF(ISNUMBER(G84), $B91 * H84, "")</f>
        <v>12080.536912751677</v>
      </c>
      <c r="J84" s="125">
        <v>163</v>
      </c>
      <c r="K84" s="73">
        <f t="shared" si="40"/>
        <v>9.3959731543624164E-2</v>
      </c>
      <c r="L84" s="136">
        <f>IF(ISNUMBER(J84), $B91 * K84, "")</f>
        <v>14093.959731543624</v>
      </c>
      <c r="M84" s="39">
        <v>159</v>
      </c>
      <c r="N84" s="73">
        <f t="shared" si="41"/>
        <v>6.7114093959731544E-2</v>
      </c>
      <c r="O84" s="136">
        <f>IF(ISNUMBER(M84), $B91 * N84, "")</f>
        <v>10067.114093959732</v>
      </c>
      <c r="Q84" s="270"/>
      <c r="R84" s="270"/>
      <c r="S84" s="270"/>
    </row>
    <row r="85" spans="1:19" ht="17.25" thickBot="1">
      <c r="A85" s="126" t="s">
        <v>270</v>
      </c>
      <c r="B85" s="127">
        <v>510</v>
      </c>
      <c r="C85" s="74">
        <v>5.1546391800000001E-2</v>
      </c>
      <c r="D85" s="127">
        <v>502</v>
      </c>
      <c r="E85" s="74">
        <f t="shared" si="38"/>
        <v>-1.5686274509803921E-2</v>
      </c>
      <c r="F85" s="203">
        <f>IF(ISNUMBER(D85), $B91 * E85, "")</f>
        <v>-2352.9411764705883</v>
      </c>
      <c r="G85" s="44">
        <v>507</v>
      </c>
      <c r="H85" s="74">
        <f t="shared" si="39"/>
        <v>-5.8823529411764705E-3</v>
      </c>
      <c r="I85" s="204">
        <f>IF(ISNUMBER(G85), $B91 * H85, "")</f>
        <v>-882.35294117647061</v>
      </c>
      <c r="J85" s="127">
        <v>513</v>
      </c>
      <c r="K85" s="74">
        <f t="shared" si="40"/>
        <v>5.8823529411764705E-3</v>
      </c>
      <c r="L85" s="203">
        <f>IF(ISNUMBER(J85), $B91 * K85, "")</f>
        <v>882.35294117647061</v>
      </c>
      <c r="M85" s="44">
        <v>509</v>
      </c>
      <c r="N85" s="74">
        <f t="shared" si="41"/>
        <v>-1.9607843137254902E-3</v>
      </c>
      <c r="O85" s="203">
        <f>IF(ISNUMBER(M85), $B91 * N85, "")</f>
        <v>-294.11764705882354</v>
      </c>
      <c r="Q85" s="270"/>
      <c r="R85" s="270"/>
      <c r="S85" s="270"/>
    </row>
    <row r="86" spans="1:19" ht="17.25" thickBot="1">
      <c r="A86" s="124" t="s">
        <v>128</v>
      </c>
      <c r="B86" s="128">
        <v>588</v>
      </c>
      <c r="C86" s="76">
        <v>0.05</v>
      </c>
      <c r="D86" s="128">
        <v>582</v>
      </c>
      <c r="E86" s="76">
        <f>IF(ISNUMBER(D86), (D86 - $B86) / $B86, "")</f>
        <v>-1.020408163265306E-2</v>
      </c>
      <c r="F86" s="205">
        <f>IF(ISNUMBER(D86), $B91 * E86, "")</f>
        <v>-1530.612244897959</v>
      </c>
      <c r="G86" s="45">
        <v>588</v>
      </c>
      <c r="H86" s="76">
        <f>IF(ISNUMBER(G86), (G86 - $B86) / $B86, "")</f>
        <v>0</v>
      </c>
      <c r="I86" s="206">
        <f>IF(ISNUMBER(G86), $B91 * H86, "")</f>
        <v>0</v>
      </c>
      <c r="J86" s="128">
        <v>598</v>
      </c>
      <c r="K86" s="76">
        <f>IF(ISNUMBER(J86), (J86 - $B86) / $B86, "")</f>
        <v>1.7006802721088437E-2</v>
      </c>
      <c r="L86" s="205">
        <f>IF(ISNUMBER(J86), $B91 * K86, "")</f>
        <v>2551.0204081632655</v>
      </c>
      <c r="M86" s="45">
        <v>599</v>
      </c>
      <c r="N86" s="76">
        <f>IF(ISNUMBER(M86), (M86 - $B86) / $B86, "")</f>
        <v>1.8707482993197279E-2</v>
      </c>
      <c r="O86" s="205">
        <f>IF(ISNUMBER(M86), $B91 * N86, "")</f>
        <v>2806.1224489795918</v>
      </c>
      <c r="Q86" s="275"/>
      <c r="R86" s="275"/>
      <c r="S86" s="275"/>
    </row>
    <row r="87" spans="1:19" ht="17.25" thickBot="1">
      <c r="A87" s="124" t="s">
        <v>116</v>
      </c>
      <c r="B87" s="125">
        <v>531</v>
      </c>
      <c r="C87" s="73">
        <v>4.9407114600000003E-2</v>
      </c>
      <c r="D87" s="125">
        <v>527</v>
      </c>
      <c r="E87" s="73">
        <f t="shared" ref="E87:E90" si="42">IF(ISNUMBER(D87), (D87 - $B87) / $B87, "")</f>
        <v>-7.5329566854990581E-3</v>
      </c>
      <c r="F87" s="136">
        <f>IF(ISNUMBER(D87), $B91 * E87, "")</f>
        <v>-1129.9435028248588</v>
      </c>
      <c r="G87" s="39">
        <v>541</v>
      </c>
      <c r="H87" s="73">
        <f t="shared" ref="H87:H90" si="43">IF(ISNUMBER(G87), (G87 - $B87) / $B87, "")</f>
        <v>1.8832391713747645E-2</v>
      </c>
      <c r="I87" s="202">
        <f>IF(ISNUMBER(G87), $B91 * H87, "")</f>
        <v>2824.8587570621467</v>
      </c>
      <c r="J87" s="125">
        <v>544</v>
      </c>
      <c r="K87" s="73">
        <f t="shared" ref="K87:K90" si="44">IF(ISNUMBER(J87), (J87 - $B87) / $B87, "")</f>
        <v>2.4482109227871938E-2</v>
      </c>
      <c r="L87" s="136">
        <f>IF(ISNUMBER(J87), $B91 * K87, "")</f>
        <v>3672.3163841807909</v>
      </c>
      <c r="M87" s="39">
        <v>552</v>
      </c>
      <c r="N87" s="73">
        <f t="shared" ref="N87:N90" si="45">IF(ISNUMBER(M87), (M87 - $B87) / $B87, "")</f>
        <v>3.954802259887006E-2</v>
      </c>
      <c r="O87" s="136">
        <f>IF(ISNUMBER(M87), $B91 * N87, "")</f>
        <v>5932.203389830509</v>
      </c>
      <c r="Q87" s="275"/>
      <c r="R87" s="275"/>
      <c r="S87" s="275"/>
    </row>
    <row r="88" spans="1:19" ht="17.25" thickBot="1">
      <c r="A88" s="124" t="s">
        <v>296</v>
      </c>
      <c r="B88" s="125">
        <v>528</v>
      </c>
      <c r="C88" s="73">
        <v>4.7619047599999999E-2</v>
      </c>
      <c r="D88" s="125">
        <v>644</v>
      </c>
      <c r="E88" s="73">
        <f t="shared" si="42"/>
        <v>0.2196969696969697</v>
      </c>
      <c r="F88" s="136">
        <f>IF(ISNUMBER(D88), $B91 * E88, "")</f>
        <v>32954.545454545456</v>
      </c>
      <c r="G88" s="39">
        <v>662</v>
      </c>
      <c r="H88" s="73">
        <f t="shared" si="43"/>
        <v>0.25378787878787878</v>
      </c>
      <c r="I88" s="202">
        <f>IF(ISNUMBER(G88), $B91 * H88, "")</f>
        <v>38068.181818181816</v>
      </c>
      <c r="J88" s="125">
        <v>658</v>
      </c>
      <c r="K88" s="73">
        <f t="shared" si="44"/>
        <v>0.24621212121212122</v>
      </c>
      <c r="L88" s="136">
        <f>IF(ISNUMBER(J88), $B91 * K88, "")</f>
        <v>36931.818181818184</v>
      </c>
      <c r="M88" s="39">
        <v>662</v>
      </c>
      <c r="N88" s="73">
        <f t="shared" si="45"/>
        <v>0.25378787878787878</v>
      </c>
      <c r="O88" s="136">
        <f>IF(ISNUMBER(M88), $B91 * N88, "")</f>
        <v>38068.181818181816</v>
      </c>
      <c r="Q88" s="275"/>
      <c r="R88" s="275"/>
      <c r="S88" s="275"/>
    </row>
    <row r="89" spans="1:19">
      <c r="A89" s="124" t="s">
        <v>238</v>
      </c>
      <c r="B89" s="125">
        <v>245</v>
      </c>
      <c r="C89" s="73">
        <v>4.7008546999999998E-2</v>
      </c>
      <c r="D89" s="125">
        <v>242</v>
      </c>
      <c r="E89" s="73">
        <f t="shared" si="42"/>
        <v>-1.2244897959183673E-2</v>
      </c>
      <c r="F89" s="136">
        <f>IF(ISNUMBER(D89), $B91 * E89, "")</f>
        <v>-1836.7346938775509</v>
      </c>
      <c r="G89" s="39">
        <v>242</v>
      </c>
      <c r="H89" s="73">
        <f t="shared" si="43"/>
        <v>-1.2244897959183673E-2</v>
      </c>
      <c r="I89" s="202">
        <f>IF(ISNUMBER(G89), $B91 * H89, "")</f>
        <v>-1836.7346938775509</v>
      </c>
      <c r="J89" s="125">
        <v>243</v>
      </c>
      <c r="K89" s="73">
        <f t="shared" si="44"/>
        <v>-8.1632653061224497E-3</v>
      </c>
      <c r="L89" s="136">
        <f>IF(ISNUMBER(J89), $B91 * K89, "")</f>
        <v>-1224.4897959183675</v>
      </c>
      <c r="M89" s="39">
        <v>242</v>
      </c>
      <c r="N89" s="73">
        <f t="shared" si="45"/>
        <v>-1.2244897959183673E-2</v>
      </c>
      <c r="O89" s="136">
        <f>IF(ISNUMBER(M89), $B91 * N89, "")</f>
        <v>-1836.7346938775509</v>
      </c>
      <c r="Q89" s="297"/>
      <c r="R89" s="298"/>
      <c r="S89" s="299"/>
    </row>
    <row r="90" spans="1:19" ht="17.25" thickBot="1">
      <c r="A90" s="129" t="s">
        <v>246</v>
      </c>
      <c r="B90" s="130">
        <v>317</v>
      </c>
      <c r="C90" s="75">
        <v>4.6204620500000002E-2</v>
      </c>
      <c r="D90" s="130">
        <v>324</v>
      </c>
      <c r="E90" s="75">
        <f t="shared" si="42"/>
        <v>2.2082018927444796E-2</v>
      </c>
      <c r="F90" s="137">
        <f>IF(ISNUMBER(D90), $B91 * E90, "")</f>
        <v>3312.3028391167195</v>
      </c>
      <c r="G90" s="37">
        <v>323</v>
      </c>
      <c r="H90" s="75">
        <f t="shared" si="43"/>
        <v>1.8927444794952682E-2</v>
      </c>
      <c r="I90" s="207">
        <f>IF(ISNUMBER(G90), $B91 * H90, "")</f>
        <v>2839.116719242902</v>
      </c>
      <c r="J90" s="130">
        <v>323</v>
      </c>
      <c r="K90" s="75">
        <f t="shared" si="44"/>
        <v>1.8927444794952682E-2</v>
      </c>
      <c r="L90" s="137">
        <f>IF(ISNUMBER(J90), $B91 * K90, "")</f>
        <v>2839.116719242902</v>
      </c>
      <c r="M90" s="37">
        <v>322</v>
      </c>
      <c r="N90" s="75">
        <f t="shared" si="45"/>
        <v>1.5772870662460567E-2</v>
      </c>
      <c r="O90" s="137">
        <f>IF(ISNUMBER(M90), $B91 * N90, "")</f>
        <v>2365.930599369085</v>
      </c>
      <c r="Q90" s="300"/>
      <c r="R90" s="301"/>
      <c r="S90" s="302"/>
    </row>
    <row r="91" spans="1:19" ht="17.25" thickBot="1">
      <c r="A91" s="131" t="s">
        <v>301</v>
      </c>
      <c r="B91" s="308">
        <f>$B$37</f>
        <v>150000</v>
      </c>
      <c r="C91" s="309"/>
      <c r="D91" s="131" t="s">
        <v>302</v>
      </c>
      <c r="E91" s="228">
        <f>IF(COUNT(E71:E90), SUM(E71:E90) / COUNT(E71:E90), 0)</f>
        <v>3.8910856708404121E-2</v>
      </c>
      <c r="F91" s="208">
        <f>SUM(F71:F90)</f>
        <v>116732.57012521235</v>
      </c>
      <c r="G91" s="131" t="s">
        <v>302</v>
      </c>
      <c r="H91" s="228">
        <f>IF(COUNT(H71:H90), SUM(H71:H90) / COUNT(H71:H90), 0)</f>
        <v>4.1814456859103184E-2</v>
      </c>
      <c r="I91" s="208">
        <f>SUM(I71:I90)</f>
        <v>125443.37057730953</v>
      </c>
      <c r="J91" s="131" t="s">
        <v>302</v>
      </c>
      <c r="K91" s="228">
        <f>IF(COUNT(K71:K90), SUM(K71:K90) / COUNT(K71:K90), 0)</f>
        <v>4.4117919348209307E-2</v>
      </c>
      <c r="L91" s="208">
        <f>SUM(L71:L90)</f>
        <v>132353.75804462793</v>
      </c>
      <c r="M91" s="131" t="s">
        <v>302</v>
      </c>
      <c r="N91" s="228">
        <f>IF(COUNT(N71:N90), SUM(N71:N90) / COUNT(N71:N90), 0)</f>
        <v>4.0495634712645064E-2</v>
      </c>
      <c r="O91" s="208">
        <f>SUM(O71:O90)</f>
        <v>121486.90413793517</v>
      </c>
      <c r="Q91" s="303"/>
      <c r="R91" s="304"/>
      <c r="S91" s="305"/>
    </row>
    <row r="93" spans="1:19" ht="17.25" thickBot="1"/>
    <row r="94" spans="1:19" ht="17.25" thickBot="1">
      <c r="A94" s="249" t="s">
        <v>46</v>
      </c>
      <c r="B94" s="250"/>
      <c r="C94" s="250"/>
      <c r="D94" s="250"/>
      <c r="E94" s="250"/>
      <c r="F94" s="250"/>
      <c r="G94" s="250"/>
      <c r="H94" s="250"/>
      <c r="I94" s="250"/>
      <c r="J94" s="250"/>
      <c r="K94" s="250"/>
      <c r="L94" s="250"/>
      <c r="M94" s="250"/>
      <c r="N94" s="250"/>
      <c r="O94" s="251"/>
      <c r="Q94" s="270"/>
      <c r="R94" s="270"/>
      <c r="S94" s="270"/>
    </row>
    <row r="95" spans="1:19" ht="17.25" thickBot="1">
      <c r="A95" s="225" t="s">
        <v>298</v>
      </c>
      <c r="B95" s="249" t="s">
        <v>49</v>
      </c>
      <c r="C95" s="251"/>
      <c r="D95" s="249" t="s">
        <v>58</v>
      </c>
      <c r="E95" s="250"/>
      <c r="F95" s="251"/>
      <c r="G95" s="276">
        <f>_xlfn.IFNA(VLOOKUP(B95, 현재가테이블!$B$2:$D$200, 2, FALSE), "-")</f>
        <v>60874000</v>
      </c>
      <c r="H95" s="277"/>
      <c r="I95" s="278"/>
      <c r="J95" s="249" t="s">
        <v>59</v>
      </c>
      <c r="K95" s="250"/>
      <c r="L95" s="251"/>
      <c r="M95" s="279">
        <f>_xlfn.IFNA(VLOOKUP(B95, 현재가테이블!$B$2:$D$200, 3, FALSE), "-")</f>
        <v>-1.4936000099999999E-2</v>
      </c>
      <c r="N95" s="280"/>
      <c r="O95" s="281"/>
      <c r="Q95" s="270"/>
      <c r="R95" s="270"/>
      <c r="S95" s="270"/>
    </row>
    <row r="96" spans="1:19" ht="17.25" thickBot="1">
      <c r="A96" s="310" t="s">
        <v>55</v>
      </c>
      <c r="B96" s="312" t="str">
        <f>TEXT($G$1, "[$-ko-KR]yyyy-mm-dd(ddd) ") &amp; "오전 00:00"</f>
        <v>2021-05-14(금) 오전 00:00</v>
      </c>
      <c r="C96" s="313"/>
      <c r="D96" s="249" t="str">
        <f>TEXT($G$1, "[$-ko-KR]yyyy-mm-dd(ddd) ") &amp; "오후 14:00"</f>
        <v>2021-05-14(금) 오후 14:00</v>
      </c>
      <c r="E96" s="250"/>
      <c r="F96" s="251"/>
      <c r="G96" s="249" t="str">
        <f>TEXT($G$1, "[$-ko-KR]yyyy-mm-dd(ddd) ") &amp; "오후 19:00"</f>
        <v>2021-05-14(금) 오후 19:00</v>
      </c>
      <c r="H96" s="250"/>
      <c r="I96" s="251"/>
      <c r="J96" s="249" t="str">
        <f>TEXT($G$1, "[$-ko-KR]yyyy-mm-dd(ddd) ") &amp; "오후 21:00"</f>
        <v>2021-05-14(금) 오후 21:00</v>
      </c>
      <c r="K96" s="250"/>
      <c r="L96" s="251"/>
      <c r="M96" s="249" t="str">
        <f>TEXT($G$1+1, "[$-ko-KR]yyyy-mm-dd(ddd) ") &amp; "오전 00:00"</f>
        <v>2021-05-15(토) 오전 00:00</v>
      </c>
      <c r="N96" s="250"/>
      <c r="O96" s="251"/>
      <c r="Q96" s="270"/>
      <c r="R96" s="270"/>
      <c r="S96" s="270"/>
    </row>
    <row r="97" spans="1:19" ht="17.25" thickBot="1">
      <c r="A97" s="311"/>
      <c r="B97" s="120" t="s">
        <v>58</v>
      </c>
      <c r="C97" s="121" t="s">
        <v>59</v>
      </c>
      <c r="D97" s="120" t="s">
        <v>58</v>
      </c>
      <c r="E97" s="121" t="s">
        <v>299</v>
      </c>
      <c r="F97" s="232" t="s">
        <v>300</v>
      </c>
      <c r="G97" s="225" t="s">
        <v>58</v>
      </c>
      <c r="H97" s="226" t="s">
        <v>299</v>
      </c>
      <c r="I97" s="227" t="s">
        <v>300</v>
      </c>
      <c r="J97" s="121" t="s">
        <v>58</v>
      </c>
      <c r="K97" s="121" t="s">
        <v>299</v>
      </c>
      <c r="L97" s="230" t="s">
        <v>300</v>
      </c>
      <c r="M97" s="120" t="s">
        <v>58</v>
      </c>
      <c r="N97" s="121" t="s">
        <v>299</v>
      </c>
      <c r="O97" s="231" t="s">
        <v>300</v>
      </c>
      <c r="Q97" s="275"/>
      <c r="R97" s="275"/>
      <c r="S97" s="275"/>
    </row>
    <row r="98" spans="1:19" ht="17.25" thickBot="1">
      <c r="A98" s="122" t="s">
        <v>84</v>
      </c>
      <c r="B98" s="123">
        <v>2310</v>
      </c>
      <c r="C98" s="72">
        <v>0.19379844960000001</v>
      </c>
      <c r="D98" s="123">
        <v>2320</v>
      </c>
      <c r="E98" s="72">
        <f>IF(ISNUMBER(D98), (D98 - $B98) / $B98, "")</f>
        <v>4.329004329004329E-3</v>
      </c>
      <c r="F98" s="140">
        <f>IF(ISNUMBER(D98), $B118 * E98, "")</f>
        <v>649.35064935064941</v>
      </c>
      <c r="G98" s="38">
        <v>2330</v>
      </c>
      <c r="H98" s="72">
        <f>IF(ISNUMBER(G98), (G98 - $B98) / $B98, "")</f>
        <v>8.658008658008658E-3</v>
      </c>
      <c r="I98" s="201">
        <f>IF(ISNUMBER(G98), $B118 * H98, "")</f>
        <v>1298.7012987012988</v>
      </c>
      <c r="J98" s="123">
        <v>2315</v>
      </c>
      <c r="K98" s="72">
        <f>IF(ISNUMBER(J98), (J98 - $B98) / $B98, "")</f>
        <v>2.1645021645021645E-3</v>
      </c>
      <c r="L98" s="140">
        <f>IF(ISNUMBER(J98), $B118 * K98, "")</f>
        <v>324.6753246753247</v>
      </c>
      <c r="M98" s="38">
        <v>2325</v>
      </c>
      <c r="N98" s="72">
        <f>IF(ISNUMBER(M98), (M98 - $B98) / $B98, "")</f>
        <v>6.4935064935064939E-3</v>
      </c>
      <c r="O98" s="140">
        <f>IF(ISNUMBER(M98), $B118 * N98, "")</f>
        <v>974.02597402597405</v>
      </c>
      <c r="Q98" s="270"/>
      <c r="R98" s="270"/>
      <c r="S98" s="270"/>
    </row>
    <row r="99" spans="1:19" ht="17.25" thickBot="1">
      <c r="A99" s="124" t="s">
        <v>138</v>
      </c>
      <c r="B99" s="125">
        <v>50000</v>
      </c>
      <c r="C99" s="73">
        <v>0.1574074074</v>
      </c>
      <c r="D99" s="125">
        <v>50520</v>
      </c>
      <c r="E99" s="73">
        <f t="shared" ref="E99:E102" si="46">IF(ISNUMBER(D99), (D99 - $B99) / $B99, "")</f>
        <v>1.04E-2</v>
      </c>
      <c r="F99" s="136">
        <f>IF(ISNUMBER(D99), $B118 * E99, "")</f>
        <v>1560</v>
      </c>
      <c r="G99" s="39">
        <v>50500</v>
      </c>
      <c r="H99" s="73">
        <f t="shared" ref="H99:H102" si="47">IF(ISNUMBER(G99), (G99 - $B99) / $B99, "")</f>
        <v>0.01</v>
      </c>
      <c r="I99" s="202">
        <f>IF(ISNUMBER(G99), $B118 * H99, "")</f>
        <v>1500</v>
      </c>
      <c r="J99" s="125">
        <v>50770</v>
      </c>
      <c r="K99" s="73">
        <f t="shared" ref="K99:K102" si="48">IF(ISNUMBER(J99), (J99 - $B99) / $B99, "")</f>
        <v>1.54E-2</v>
      </c>
      <c r="L99" s="136">
        <f>IF(ISNUMBER(J99), $B118 * K99, "")</f>
        <v>2310</v>
      </c>
      <c r="M99" s="39">
        <v>53360</v>
      </c>
      <c r="N99" s="73">
        <f t="shared" ref="N99:N102" si="49">IF(ISNUMBER(M99), (M99 - $B99) / $B99, "")</f>
        <v>6.7199999999999996E-2</v>
      </c>
      <c r="O99" s="136">
        <f>IF(ISNUMBER(M99), $B118 * N99, "")</f>
        <v>10080</v>
      </c>
      <c r="Q99" s="270"/>
      <c r="R99" s="270"/>
      <c r="S99" s="270"/>
    </row>
    <row r="100" spans="1:19" ht="17.25" thickBot="1">
      <c r="A100" s="124" t="s">
        <v>54</v>
      </c>
      <c r="B100" s="125">
        <v>333</v>
      </c>
      <c r="C100" s="73">
        <v>0.1174496644</v>
      </c>
      <c r="D100" s="125">
        <v>466</v>
      </c>
      <c r="E100" s="73">
        <f t="shared" si="46"/>
        <v>0.39939939939939939</v>
      </c>
      <c r="F100" s="136">
        <f>IF(ISNUMBER(D100), $B118 * E100, "")</f>
        <v>59909.909909909911</v>
      </c>
      <c r="G100" s="39">
        <v>425</v>
      </c>
      <c r="H100" s="73">
        <f t="shared" si="47"/>
        <v>0.27627627627627627</v>
      </c>
      <c r="I100" s="202">
        <f>IF(ISNUMBER(G100), $B118 * H100, "")</f>
        <v>41441.441441441442</v>
      </c>
      <c r="J100" s="125">
        <v>418</v>
      </c>
      <c r="K100" s="73">
        <f t="shared" si="48"/>
        <v>0.25525525525525528</v>
      </c>
      <c r="L100" s="136">
        <f>IF(ISNUMBER(J100), $B118 * K100, "")</f>
        <v>38288.288288288291</v>
      </c>
      <c r="M100" s="39">
        <v>402</v>
      </c>
      <c r="N100" s="73">
        <f t="shared" si="49"/>
        <v>0.2072072072072072</v>
      </c>
      <c r="O100" s="136">
        <f>IF(ISNUMBER(M100), $B118 * N100, "")</f>
        <v>31081.08108108108</v>
      </c>
      <c r="Q100" s="275"/>
      <c r="R100" s="275"/>
      <c r="S100" s="275"/>
    </row>
    <row r="101" spans="1:19" ht="17.25" thickBot="1">
      <c r="A101" s="124" t="s">
        <v>258</v>
      </c>
      <c r="B101" s="125">
        <v>624</v>
      </c>
      <c r="C101" s="73">
        <v>0.11428571429999999</v>
      </c>
      <c r="D101" s="125">
        <v>592</v>
      </c>
      <c r="E101" s="73">
        <f t="shared" si="46"/>
        <v>-5.128205128205128E-2</v>
      </c>
      <c r="F101" s="136">
        <f>IF(ISNUMBER(D101), $B118 * E101, "")</f>
        <v>-7692.3076923076924</v>
      </c>
      <c r="G101" s="39">
        <v>599</v>
      </c>
      <c r="H101" s="73">
        <f t="shared" si="47"/>
        <v>-4.0064102564102567E-2</v>
      </c>
      <c r="I101" s="202">
        <f>IF(ISNUMBER(G101), $B118 * H101, "")</f>
        <v>-6009.6153846153848</v>
      </c>
      <c r="J101" s="125">
        <v>603</v>
      </c>
      <c r="K101" s="73">
        <f t="shared" si="48"/>
        <v>-3.3653846153846152E-2</v>
      </c>
      <c r="L101" s="136">
        <f>IF(ISNUMBER(J101), $B118 * K101, "")</f>
        <v>-5048.0769230769229</v>
      </c>
      <c r="M101" s="39">
        <v>600</v>
      </c>
      <c r="N101" s="73">
        <f t="shared" si="49"/>
        <v>-3.8461538461538464E-2</v>
      </c>
      <c r="O101" s="136">
        <f>IF(ISNUMBER(M101), $B118 * N101, "")</f>
        <v>-5769.2307692307695</v>
      </c>
      <c r="Q101" s="275"/>
      <c r="R101" s="275"/>
      <c r="S101" s="275"/>
    </row>
    <row r="102" spans="1:19" ht="17.25" thickBot="1">
      <c r="A102" s="126" t="s">
        <v>142</v>
      </c>
      <c r="B102" s="127">
        <v>411</v>
      </c>
      <c r="C102" s="74">
        <v>0.1138211382</v>
      </c>
      <c r="D102" s="127">
        <v>421</v>
      </c>
      <c r="E102" s="74">
        <f t="shared" si="46"/>
        <v>2.4330900243309004E-2</v>
      </c>
      <c r="F102" s="203">
        <f>IF(ISNUMBER(D102), $B118 * E102, "")</f>
        <v>3649.6350364963505</v>
      </c>
      <c r="G102" s="44">
        <v>420</v>
      </c>
      <c r="H102" s="74">
        <f t="shared" si="47"/>
        <v>2.1897810218978103E-2</v>
      </c>
      <c r="I102" s="204">
        <f>IF(ISNUMBER(G102), $B118 * H102, "")</f>
        <v>3284.6715328467153</v>
      </c>
      <c r="J102" s="127">
        <v>418</v>
      </c>
      <c r="K102" s="74">
        <f t="shared" si="48"/>
        <v>1.7031630170316302E-2</v>
      </c>
      <c r="L102" s="203">
        <f>IF(ISNUMBER(J102), $B118 * K102, "")</f>
        <v>2554.7445255474454</v>
      </c>
      <c r="M102" s="44">
        <v>415</v>
      </c>
      <c r="N102" s="74">
        <f t="shared" si="49"/>
        <v>9.7323600973236012E-3</v>
      </c>
      <c r="O102" s="203">
        <f>IF(ISNUMBER(M102), $B118 * N102, "")</f>
        <v>1459.8540145985403</v>
      </c>
      <c r="Q102" s="275"/>
      <c r="R102" s="275"/>
      <c r="S102" s="275"/>
    </row>
    <row r="103" spans="1:19" ht="17.25" thickBot="1">
      <c r="A103" s="124" t="s">
        <v>216</v>
      </c>
      <c r="B103" s="128">
        <v>439</v>
      </c>
      <c r="C103" s="76">
        <v>0.1057934509</v>
      </c>
      <c r="D103" s="128">
        <v>432</v>
      </c>
      <c r="E103" s="76">
        <f>IF(ISNUMBER(D103), (D103 - $B103) / $B103, "")</f>
        <v>-1.5945330296127564E-2</v>
      </c>
      <c r="F103" s="205">
        <f>IF(ISNUMBER(D103), $B118 * E103, "")</f>
        <v>-2391.7995444191347</v>
      </c>
      <c r="G103" s="45">
        <v>433</v>
      </c>
      <c r="H103" s="76">
        <f>IF(ISNUMBER(G103), (G103 - $B103) / $B103, "")</f>
        <v>-1.366742596810934E-2</v>
      </c>
      <c r="I103" s="206">
        <f>IF(ISNUMBER(G103), $B118 * H103, "")</f>
        <v>-2050.113895216401</v>
      </c>
      <c r="J103" s="128">
        <v>436</v>
      </c>
      <c r="K103" s="76">
        <f>IF(ISNUMBER(J103), (J103 - $B103) / $B103, "")</f>
        <v>-6.8337129840546698E-3</v>
      </c>
      <c r="L103" s="205">
        <f>IF(ISNUMBER(J103), $B118 * K103, "")</f>
        <v>-1025.0569476082005</v>
      </c>
      <c r="M103" s="45">
        <v>444</v>
      </c>
      <c r="N103" s="76">
        <f>IF(ISNUMBER(M103), (M103 - $B103) / $B103, "")</f>
        <v>1.1389521640091117E-2</v>
      </c>
      <c r="O103" s="205">
        <f>IF(ISNUMBER(M103), $B118 * N103, "")</f>
        <v>1708.4282460136676</v>
      </c>
      <c r="Q103" s="275"/>
      <c r="R103" s="275"/>
      <c r="S103" s="275"/>
    </row>
    <row r="104" spans="1:19" ht="17.25" thickBot="1">
      <c r="A104" s="124" t="s">
        <v>110</v>
      </c>
      <c r="B104" s="125">
        <v>2760</v>
      </c>
      <c r="C104" s="73">
        <v>0.10179640719999999</v>
      </c>
      <c r="D104" s="125">
        <v>2630</v>
      </c>
      <c r="E104" s="73">
        <f t="shared" ref="E104:E107" si="50">IF(ISNUMBER(D104), (D104 - $B104) / $B104, "")</f>
        <v>-4.710144927536232E-2</v>
      </c>
      <c r="F104" s="136">
        <f>IF(ISNUMBER(D104), $B118 * E104, "")</f>
        <v>-7065.217391304348</v>
      </c>
      <c r="G104" s="39">
        <v>2675</v>
      </c>
      <c r="H104" s="73">
        <f t="shared" ref="H104:H107" si="51">IF(ISNUMBER(G104), (G104 - $B104) / $B104, "")</f>
        <v>-3.0797101449275364E-2</v>
      </c>
      <c r="I104" s="202">
        <f>IF(ISNUMBER(G104), $B118 * H104, "")</f>
        <v>-4619.5652173913049</v>
      </c>
      <c r="J104" s="125">
        <v>2680</v>
      </c>
      <c r="K104" s="73">
        <f t="shared" ref="K104:K107" si="52">IF(ISNUMBER(J104), (J104 - $B104) / $B104, "")</f>
        <v>-2.8985507246376812E-2</v>
      </c>
      <c r="L104" s="136">
        <f>IF(ISNUMBER(J104), $B118 * K104, "")</f>
        <v>-4347.826086956522</v>
      </c>
      <c r="M104" s="39">
        <v>2695</v>
      </c>
      <c r="N104" s="73">
        <f t="shared" ref="N104:N107" si="53">IF(ISNUMBER(M104), (M104 - $B104) / $B104, "")</f>
        <v>-2.355072463768116E-2</v>
      </c>
      <c r="O104" s="136">
        <f>IF(ISNUMBER(M104), $B118 * N104, "")</f>
        <v>-3532.608695652174</v>
      </c>
      <c r="Q104" s="275"/>
      <c r="R104" s="275"/>
      <c r="S104" s="275"/>
    </row>
    <row r="105" spans="1:19" ht="17.25" thickBot="1">
      <c r="A105" s="124" t="s">
        <v>132</v>
      </c>
      <c r="B105" s="125">
        <v>226</v>
      </c>
      <c r="C105" s="73">
        <v>9.1787439600000006E-2</v>
      </c>
      <c r="D105" s="125">
        <v>227</v>
      </c>
      <c r="E105" s="73">
        <f t="shared" si="50"/>
        <v>4.4247787610619468E-3</v>
      </c>
      <c r="F105" s="136">
        <f>IF(ISNUMBER(D105), $B118 * E105, "")</f>
        <v>663.71681415929197</v>
      </c>
      <c r="G105" s="39">
        <v>229</v>
      </c>
      <c r="H105" s="73">
        <f t="shared" si="51"/>
        <v>1.3274336283185841E-2</v>
      </c>
      <c r="I105" s="202">
        <f>IF(ISNUMBER(G105), $B118 * H105, "")</f>
        <v>1991.1504424778761</v>
      </c>
      <c r="J105" s="125">
        <v>230</v>
      </c>
      <c r="K105" s="73">
        <f t="shared" si="52"/>
        <v>1.7699115044247787E-2</v>
      </c>
      <c r="L105" s="136">
        <f>IF(ISNUMBER(J105), $B118 * K105, "")</f>
        <v>2654.8672566371679</v>
      </c>
      <c r="M105" s="39">
        <v>229</v>
      </c>
      <c r="N105" s="73">
        <f t="shared" si="53"/>
        <v>1.3274336283185841E-2</v>
      </c>
      <c r="O105" s="136">
        <f>IF(ISNUMBER(M105), $B118 * N105, "")</f>
        <v>1991.1504424778761</v>
      </c>
      <c r="Q105" s="275"/>
      <c r="R105" s="275"/>
      <c r="S105" s="275"/>
    </row>
    <row r="106" spans="1:19" ht="17.25" thickBot="1">
      <c r="A106" s="124" t="s">
        <v>122</v>
      </c>
      <c r="B106" s="125">
        <v>106</v>
      </c>
      <c r="C106" s="73">
        <v>8.49539406E-2</v>
      </c>
      <c r="D106" s="125">
        <v>103</v>
      </c>
      <c r="E106" s="73">
        <f t="shared" si="50"/>
        <v>-2.8301886792452831E-2</v>
      </c>
      <c r="F106" s="136">
        <f>IF(ISNUMBER(D106), $B118 * E106, "")</f>
        <v>-4245.2830188679245</v>
      </c>
      <c r="G106" s="39">
        <v>104</v>
      </c>
      <c r="H106" s="73">
        <f t="shared" si="51"/>
        <v>-1.8867924528301886E-2</v>
      </c>
      <c r="I106" s="202">
        <f>IF(ISNUMBER(G106), $B118 * H106, "")</f>
        <v>-2830.1886792452829</v>
      </c>
      <c r="J106" s="125">
        <v>104</v>
      </c>
      <c r="K106" s="73">
        <f t="shared" si="52"/>
        <v>-1.8867924528301886E-2</v>
      </c>
      <c r="L106" s="136">
        <f>IF(ISNUMBER(J106), $B118 * K106, "")</f>
        <v>-2830.1886792452829</v>
      </c>
      <c r="M106" s="39">
        <v>104</v>
      </c>
      <c r="N106" s="73">
        <f t="shared" si="53"/>
        <v>-1.8867924528301886E-2</v>
      </c>
      <c r="O106" s="136">
        <f>IF(ISNUMBER(M106), $B118 * N106, "")</f>
        <v>-2830.1886792452829</v>
      </c>
      <c r="Q106" s="33"/>
      <c r="R106" s="33"/>
    </row>
    <row r="107" spans="1:19" ht="17.25" thickBot="1">
      <c r="A107" s="129" t="s">
        <v>108</v>
      </c>
      <c r="B107" s="130">
        <v>51470</v>
      </c>
      <c r="C107" s="75">
        <v>8.3578947400000006E-2</v>
      </c>
      <c r="D107" s="130">
        <v>52760</v>
      </c>
      <c r="E107" s="75">
        <f t="shared" si="50"/>
        <v>2.5063143578783757E-2</v>
      </c>
      <c r="F107" s="137">
        <f>IF(ISNUMBER(D107), $B118 * E107, "")</f>
        <v>3759.4715368175634</v>
      </c>
      <c r="G107" s="37">
        <v>56110</v>
      </c>
      <c r="H107" s="75">
        <f t="shared" si="51"/>
        <v>9.0149601709733823E-2</v>
      </c>
      <c r="I107" s="207">
        <f>IF(ISNUMBER(G107), $B118 * H107, "")</f>
        <v>13522.440256460073</v>
      </c>
      <c r="J107" s="130">
        <v>55870</v>
      </c>
      <c r="K107" s="75">
        <f t="shared" si="52"/>
        <v>8.5486691276471738E-2</v>
      </c>
      <c r="L107" s="137">
        <f>IF(ISNUMBER(J107), $B118 * K107, "")</f>
        <v>12823.00369147076</v>
      </c>
      <c r="M107" s="37">
        <v>55130</v>
      </c>
      <c r="N107" s="75">
        <f t="shared" si="53"/>
        <v>7.1109384107246945E-2</v>
      </c>
      <c r="O107" s="137">
        <f>IF(ISNUMBER(M107), $B118 * N107, "")</f>
        <v>10666.407616087041</v>
      </c>
      <c r="Q107" s="284"/>
      <c r="R107" s="285"/>
      <c r="S107" s="286"/>
    </row>
    <row r="108" spans="1:19">
      <c r="A108" s="122" t="s">
        <v>220</v>
      </c>
      <c r="B108" s="123">
        <v>16.899999999999999</v>
      </c>
      <c r="C108" s="72">
        <v>8.3333333300000006E-2</v>
      </c>
      <c r="D108" s="123">
        <v>18.399999999999999</v>
      </c>
      <c r="E108" s="72">
        <f>IF(ISNUMBER(D108), (D108 - $B108) / $B108, "")</f>
        <v>8.8757396449704151E-2</v>
      </c>
      <c r="F108" s="140">
        <f>IF(ISNUMBER(D108), $B118 * E108, "")</f>
        <v>13313.609467455623</v>
      </c>
      <c r="G108" s="38">
        <v>18</v>
      </c>
      <c r="H108" s="72">
        <f>IF(ISNUMBER(G108), (G108 - $B108) / $B108, "")</f>
        <v>6.5088757396449801E-2</v>
      </c>
      <c r="I108" s="201">
        <f>IF(ISNUMBER(G108), $B118 * H108, "")</f>
        <v>9763.3136094674701</v>
      </c>
      <c r="J108" s="123">
        <v>18</v>
      </c>
      <c r="K108" s="72">
        <f>IF(ISNUMBER(J108), (J108 - $B108) / $B108, "")</f>
        <v>6.5088757396449801E-2</v>
      </c>
      <c r="L108" s="140">
        <f>IF(ISNUMBER(J108), $B118 * K108, "")</f>
        <v>9763.3136094674701</v>
      </c>
      <c r="M108" s="38">
        <v>17.899999999999999</v>
      </c>
      <c r="N108" s="72">
        <f>IF(ISNUMBER(M108), (M108 - $B108) / $B108, "")</f>
        <v>5.9171597633136098E-2</v>
      </c>
      <c r="O108" s="140">
        <f>IF(ISNUMBER(M108), $B118 * N108, "")</f>
        <v>8875.7396449704156</v>
      </c>
      <c r="Q108" s="287"/>
      <c r="R108" s="288"/>
      <c r="S108" s="289"/>
    </row>
    <row r="109" spans="1:19" ht="17.25" thickBot="1">
      <c r="A109" s="124" t="s">
        <v>90</v>
      </c>
      <c r="B109" s="125">
        <v>400800</v>
      </c>
      <c r="C109" s="73">
        <v>8.2950553900000001E-2</v>
      </c>
      <c r="D109" s="125">
        <v>394550</v>
      </c>
      <c r="E109" s="73">
        <f t="shared" ref="E109:E112" si="54">IF(ISNUMBER(D109), (D109 - $B109) / $B109, "")</f>
        <v>-1.55938123752495E-2</v>
      </c>
      <c r="F109" s="136">
        <f>IF(ISNUMBER(D109), $B118 * E109, "")</f>
        <v>-2339.0718562874249</v>
      </c>
      <c r="G109" s="39">
        <v>400300</v>
      </c>
      <c r="H109" s="73">
        <f t="shared" ref="H109:H112" si="55">IF(ISNUMBER(G109), (G109 - $B109) / $B109, "")</f>
        <v>-1.2475049900199601E-3</v>
      </c>
      <c r="I109" s="202">
        <f>IF(ISNUMBER(G109), $B118 * H109, "")</f>
        <v>-187.12574850299401</v>
      </c>
      <c r="J109" s="125">
        <v>402900</v>
      </c>
      <c r="K109" s="73">
        <f t="shared" ref="K109:K112" si="56">IF(ISNUMBER(J109), (J109 - $B109) / $B109, "")</f>
        <v>5.239520958083832E-3</v>
      </c>
      <c r="L109" s="136">
        <f>IF(ISNUMBER(J109), $B118 * K109, "")</f>
        <v>785.92814371257475</v>
      </c>
      <c r="M109" s="39">
        <v>409350</v>
      </c>
      <c r="N109" s="73">
        <f t="shared" ref="N109:N112" si="57">IF(ISNUMBER(M109), (M109 - $B109) / $B109, "")</f>
        <v>2.1332335329341319E-2</v>
      </c>
      <c r="O109" s="136">
        <f>IF(ISNUMBER(M109), $B118 * N109, "")</f>
        <v>3199.8502994011978</v>
      </c>
      <c r="Q109" s="290"/>
      <c r="R109" s="291"/>
      <c r="S109" s="292"/>
    </row>
    <row r="110" spans="1:19" ht="17.25" thickBot="1">
      <c r="A110" s="124" t="s">
        <v>256</v>
      </c>
      <c r="B110" s="125">
        <v>229</v>
      </c>
      <c r="C110" s="73">
        <v>8.0188679200000001E-2</v>
      </c>
      <c r="D110" s="125">
        <v>235</v>
      </c>
      <c r="E110" s="73">
        <f t="shared" si="54"/>
        <v>2.6200873362445413E-2</v>
      </c>
      <c r="F110" s="136">
        <f>IF(ISNUMBER(D110), $B118 * E110, "")</f>
        <v>3930.1310043668122</v>
      </c>
      <c r="G110" s="39">
        <v>239</v>
      </c>
      <c r="H110" s="73">
        <f t="shared" si="55"/>
        <v>4.3668122270742356E-2</v>
      </c>
      <c r="I110" s="202">
        <f>IF(ISNUMBER(G110), $B118 * H110, "")</f>
        <v>6550.2183406113536</v>
      </c>
      <c r="J110" s="125">
        <v>239</v>
      </c>
      <c r="K110" s="73">
        <f t="shared" si="56"/>
        <v>4.3668122270742356E-2</v>
      </c>
      <c r="L110" s="136">
        <f>IF(ISNUMBER(J110), $B118 * K110, "")</f>
        <v>6550.2183406113536</v>
      </c>
      <c r="M110" s="39">
        <v>241</v>
      </c>
      <c r="N110" s="73">
        <f t="shared" si="57"/>
        <v>5.2401746724890827E-2</v>
      </c>
      <c r="O110" s="136">
        <f>IF(ISNUMBER(M110), $B118 * N110, "")</f>
        <v>7860.2620087336245</v>
      </c>
      <c r="Q110" s="275"/>
      <c r="R110" s="275"/>
      <c r="S110" s="275"/>
    </row>
    <row r="111" spans="1:19" ht="17.25" thickBot="1">
      <c r="A111" s="124" t="s">
        <v>194</v>
      </c>
      <c r="B111" s="125">
        <v>11990</v>
      </c>
      <c r="C111" s="73">
        <v>8.0180180200000006E-2</v>
      </c>
      <c r="D111" s="125">
        <v>12160</v>
      </c>
      <c r="E111" s="73">
        <f t="shared" si="54"/>
        <v>1.4178482068390326E-2</v>
      </c>
      <c r="F111" s="136">
        <f>IF(ISNUMBER(D111), $B118 * E111, "")</f>
        <v>2126.7723102585487</v>
      </c>
      <c r="G111" s="39">
        <v>12150</v>
      </c>
      <c r="H111" s="73">
        <f t="shared" si="55"/>
        <v>1.3344453711426188E-2</v>
      </c>
      <c r="I111" s="202">
        <f>IF(ISNUMBER(G111), $B118 * H111, "")</f>
        <v>2001.6680567139283</v>
      </c>
      <c r="J111" s="125">
        <v>12170</v>
      </c>
      <c r="K111" s="73">
        <f t="shared" si="56"/>
        <v>1.5012510425354461E-2</v>
      </c>
      <c r="L111" s="136">
        <f>IF(ISNUMBER(J111), $B118 * K111, "")</f>
        <v>2251.8765638031691</v>
      </c>
      <c r="M111" s="39">
        <v>12160</v>
      </c>
      <c r="N111" s="73">
        <f t="shared" si="57"/>
        <v>1.4178482068390326E-2</v>
      </c>
      <c r="O111" s="136">
        <f>IF(ISNUMBER(M111), $B118 * N111, "")</f>
        <v>2126.7723102585487</v>
      </c>
      <c r="Q111" s="270"/>
      <c r="R111" s="270"/>
      <c r="S111" s="270"/>
    </row>
    <row r="112" spans="1:19" ht="17.25" thickBot="1">
      <c r="A112" s="126" t="s">
        <v>76</v>
      </c>
      <c r="B112" s="127">
        <v>55200</v>
      </c>
      <c r="C112" s="74">
        <v>8.0023478800000006E-2</v>
      </c>
      <c r="D112" s="127">
        <v>55210</v>
      </c>
      <c r="E112" s="74">
        <f t="shared" si="54"/>
        <v>1.8115942028985507E-4</v>
      </c>
      <c r="F112" s="203">
        <f>IF(ISNUMBER(D112), $B118 * E112, "")</f>
        <v>27.173913043478262</v>
      </c>
      <c r="G112" s="44">
        <v>56160</v>
      </c>
      <c r="H112" s="74">
        <f t="shared" si="55"/>
        <v>1.7391304347826087E-2</v>
      </c>
      <c r="I112" s="204">
        <f>IF(ISNUMBER(G112), $B118 * H112, "")</f>
        <v>2608.695652173913</v>
      </c>
      <c r="J112" s="127">
        <v>55860</v>
      </c>
      <c r="K112" s="74">
        <f t="shared" si="56"/>
        <v>1.1956521739130435E-2</v>
      </c>
      <c r="L112" s="203">
        <f>IF(ISNUMBER(J112), $B118 * K112, "")</f>
        <v>1793.4782608695652</v>
      </c>
      <c r="M112" s="44">
        <v>56700</v>
      </c>
      <c r="N112" s="74">
        <f t="shared" si="57"/>
        <v>2.717391304347826E-2</v>
      </c>
      <c r="O112" s="203">
        <f>IF(ISNUMBER(M112), $B118 * N112, "")</f>
        <v>4076.086956521739</v>
      </c>
      <c r="Q112" s="270"/>
      <c r="R112" s="270"/>
      <c r="S112" s="270"/>
    </row>
    <row r="113" spans="1:19" ht="17.25" thickBot="1">
      <c r="A113" s="124" t="s">
        <v>244</v>
      </c>
      <c r="B113" s="128">
        <v>3015</v>
      </c>
      <c r="C113" s="76">
        <v>7.6785714300000002E-2</v>
      </c>
      <c r="D113" s="128">
        <v>2985</v>
      </c>
      <c r="E113" s="76">
        <f>IF(ISNUMBER(D113), (D113 - $B113) / $B113, "")</f>
        <v>-9.9502487562189053E-3</v>
      </c>
      <c r="F113" s="205">
        <f>IF(ISNUMBER(D113), $B118 * E113, "")</f>
        <v>-1492.5373134328358</v>
      </c>
      <c r="G113" s="45">
        <v>3010</v>
      </c>
      <c r="H113" s="76">
        <f>IF(ISNUMBER(G113), (G113 - $B113) / $B113, "")</f>
        <v>-1.658374792703151E-3</v>
      </c>
      <c r="I113" s="206">
        <f>IF(ISNUMBER(G113), $B118 * H113, "")</f>
        <v>-248.75621890547265</v>
      </c>
      <c r="J113" s="128">
        <v>3050</v>
      </c>
      <c r="K113" s="76">
        <f>IF(ISNUMBER(J113), (J113 - $B113) / $B113, "")</f>
        <v>1.1608623548922056E-2</v>
      </c>
      <c r="L113" s="205">
        <f>IF(ISNUMBER(J113), $B118 * K113, "")</f>
        <v>1741.2935323383083</v>
      </c>
      <c r="M113" s="45">
        <v>3060</v>
      </c>
      <c r="N113" s="76">
        <f>IF(ISNUMBER(M113), (M113 - $B113) / $B113, "")</f>
        <v>1.4925373134328358E-2</v>
      </c>
      <c r="O113" s="205">
        <f>IF(ISNUMBER(M113), $B118 * N113, "")</f>
        <v>2238.8059701492539</v>
      </c>
      <c r="Q113" s="275"/>
      <c r="R113" s="275"/>
      <c r="S113" s="275"/>
    </row>
    <row r="114" spans="1:19" ht="17.25" thickBot="1">
      <c r="A114" s="124" t="s">
        <v>118</v>
      </c>
      <c r="B114" s="125">
        <v>6730</v>
      </c>
      <c r="C114" s="73">
        <v>6.9952305199999995E-2</v>
      </c>
      <c r="D114" s="125">
        <v>6745</v>
      </c>
      <c r="E114" s="73">
        <f t="shared" ref="E114:E117" si="58">IF(ISNUMBER(D114), (D114 - $B114) / $B114, "")</f>
        <v>2.2288261515601782E-3</v>
      </c>
      <c r="F114" s="136">
        <f>IF(ISNUMBER(D114), $B118 * E114, "")</f>
        <v>334.32392273402672</v>
      </c>
      <c r="G114" s="39">
        <v>6945</v>
      </c>
      <c r="H114" s="73">
        <f t="shared" ref="H114:H117" si="59">IF(ISNUMBER(G114), (G114 - $B114) / $B114, "")</f>
        <v>3.1946508172362553E-2</v>
      </c>
      <c r="I114" s="202">
        <f>IF(ISNUMBER(G114), $B118 * H114, "")</f>
        <v>4791.9762258543833</v>
      </c>
      <c r="J114" s="125">
        <v>6940</v>
      </c>
      <c r="K114" s="73">
        <f t="shared" ref="K114:K117" si="60">IF(ISNUMBER(J114), (J114 - $B114) / $B114, "")</f>
        <v>3.1203566121842496E-2</v>
      </c>
      <c r="L114" s="136">
        <f>IF(ISNUMBER(J114), $B118 * K114, "")</f>
        <v>4680.5349182763748</v>
      </c>
      <c r="M114" s="39">
        <v>6955</v>
      </c>
      <c r="N114" s="73">
        <f t="shared" ref="N114:N117" si="61">IF(ISNUMBER(M114), (M114 - $B114) / $B114, "")</f>
        <v>3.3432392273402674E-2</v>
      </c>
      <c r="O114" s="136">
        <f>IF(ISNUMBER(M114), $B118 * N114, "")</f>
        <v>5014.8588410104012</v>
      </c>
      <c r="Q114" s="275"/>
      <c r="R114" s="275"/>
      <c r="S114" s="275"/>
    </row>
    <row r="115" spans="1:19" ht="17.25" thickBot="1">
      <c r="A115" s="124" t="s">
        <v>158</v>
      </c>
      <c r="B115" s="125">
        <v>8815</v>
      </c>
      <c r="C115" s="73">
        <v>6.9781553400000002E-2</v>
      </c>
      <c r="D115" s="125">
        <v>8840</v>
      </c>
      <c r="E115" s="73">
        <f t="shared" si="58"/>
        <v>2.8360748723766306E-3</v>
      </c>
      <c r="F115" s="136">
        <f>IF(ISNUMBER(D115), $B118 * E115, "")</f>
        <v>425.41123085649457</v>
      </c>
      <c r="G115" s="39">
        <v>8945</v>
      </c>
      <c r="H115" s="73">
        <f t="shared" si="59"/>
        <v>1.4747589336358479E-2</v>
      </c>
      <c r="I115" s="202">
        <f>IF(ISNUMBER(G115), $B118 * H115, "")</f>
        <v>2212.1384004537717</v>
      </c>
      <c r="J115" s="125">
        <v>8970</v>
      </c>
      <c r="K115" s="73">
        <f t="shared" si="60"/>
        <v>1.7583664208735111E-2</v>
      </c>
      <c r="L115" s="136">
        <f>IF(ISNUMBER(J115), $B118 * K115, "")</f>
        <v>2637.5496313102667</v>
      </c>
      <c r="M115" s="39">
        <v>8860</v>
      </c>
      <c r="N115" s="73">
        <f t="shared" si="61"/>
        <v>5.1049347702779354E-3</v>
      </c>
      <c r="O115" s="136">
        <f>IF(ISNUMBER(M115), $B118 * N115, "")</f>
        <v>765.7402155416903</v>
      </c>
      <c r="Q115" s="275"/>
      <c r="R115" s="275"/>
      <c r="S115" s="275"/>
    </row>
    <row r="116" spans="1:19">
      <c r="A116" s="124" t="s">
        <v>184</v>
      </c>
      <c r="B116" s="125">
        <v>2545</v>
      </c>
      <c r="C116" s="73">
        <v>6.9327731099999998E-2</v>
      </c>
      <c r="D116" s="125">
        <v>2535</v>
      </c>
      <c r="E116" s="73">
        <f t="shared" si="58"/>
        <v>-3.929273084479371E-3</v>
      </c>
      <c r="F116" s="136">
        <f>IF(ISNUMBER(D116), $B118 * E116, "")</f>
        <v>-589.39096267190564</v>
      </c>
      <c r="G116" s="39">
        <v>2515</v>
      </c>
      <c r="H116" s="73">
        <f t="shared" si="59"/>
        <v>-1.1787819253438114E-2</v>
      </c>
      <c r="I116" s="202">
        <f>IF(ISNUMBER(G116), $B118 * H116, "")</f>
        <v>-1768.172888015717</v>
      </c>
      <c r="J116" s="125">
        <v>2520</v>
      </c>
      <c r="K116" s="73">
        <f t="shared" si="60"/>
        <v>-9.823182711198428E-3</v>
      </c>
      <c r="L116" s="136">
        <f>IF(ISNUMBER(J116), $B118 * K116, "")</f>
        <v>-1473.4774066797643</v>
      </c>
      <c r="M116" s="39">
        <v>2490</v>
      </c>
      <c r="N116" s="73">
        <f t="shared" si="61"/>
        <v>-2.1611001964636542E-2</v>
      </c>
      <c r="O116" s="136">
        <f>IF(ISNUMBER(M116), $B118 * N116, "")</f>
        <v>-3241.6502946954811</v>
      </c>
      <c r="Q116" s="297"/>
      <c r="R116" s="298"/>
      <c r="S116" s="299"/>
    </row>
    <row r="117" spans="1:19" ht="17.25" thickBot="1">
      <c r="A117" s="129" t="s">
        <v>146</v>
      </c>
      <c r="B117" s="130">
        <v>15480</v>
      </c>
      <c r="C117" s="75">
        <v>6.8322981399999996E-2</v>
      </c>
      <c r="D117" s="130">
        <v>15950</v>
      </c>
      <c r="E117" s="75">
        <f t="shared" si="58"/>
        <v>3.0361757105943153E-2</v>
      </c>
      <c r="F117" s="137">
        <f>IF(ISNUMBER(D117), $B118 * E117, "")</f>
        <v>4554.2635658914733</v>
      </c>
      <c r="G117" s="37">
        <v>16270</v>
      </c>
      <c r="H117" s="75">
        <f t="shared" si="59"/>
        <v>5.1033591731266148E-2</v>
      </c>
      <c r="I117" s="207">
        <f>IF(ISNUMBER(G117), $B118 * H117, "")</f>
        <v>7655.0387596899218</v>
      </c>
      <c r="J117" s="130">
        <v>16350</v>
      </c>
      <c r="K117" s="75">
        <f t="shared" si="60"/>
        <v>5.6201550387596902E-2</v>
      </c>
      <c r="L117" s="137">
        <f>IF(ISNUMBER(J117), $B118 * K117, "")</f>
        <v>8430.2325581395362</v>
      </c>
      <c r="M117" s="37">
        <v>16280</v>
      </c>
      <c r="N117" s="75">
        <f t="shared" si="61"/>
        <v>5.1679586563307491E-2</v>
      </c>
      <c r="O117" s="137">
        <f>IF(ISNUMBER(M117), $B118 * N117, "")</f>
        <v>7751.9379844961231</v>
      </c>
      <c r="Q117" s="300"/>
      <c r="R117" s="301"/>
      <c r="S117" s="302"/>
    </row>
    <row r="118" spans="1:19" ht="17.25" thickBot="1">
      <c r="A118" s="131" t="s">
        <v>301</v>
      </c>
      <c r="B118" s="308">
        <f>$B$37</f>
        <v>150000</v>
      </c>
      <c r="C118" s="309"/>
      <c r="D118" s="131" t="s">
        <v>302</v>
      </c>
      <c r="E118" s="228">
        <f>IF(COUNT(E98:E117), SUM(E98:E117) / COUNT(E98:E117), 0)</f>
        <v>2.3029387194016322E-2</v>
      </c>
      <c r="F118" s="208">
        <f>SUM(F98:F117)</f>
        <v>69088.161582048953</v>
      </c>
      <c r="G118" s="131" t="s">
        <v>302</v>
      </c>
      <c r="H118" s="228">
        <f>IF(COUNT(H98:H117), SUM(H98:H117) / COUNT(H98:H117), 0)</f>
        <v>2.6969305328333193E-2</v>
      </c>
      <c r="I118" s="208">
        <f>SUM(I98:I117)</f>
        <v>80907.915984999592</v>
      </c>
      <c r="J118" s="131" t="s">
        <v>302</v>
      </c>
      <c r="K118" s="228">
        <f>IF(COUNT(K98:K117), SUM(K98:K117) / COUNT(K98:K117), 0)</f>
        <v>2.7621792867193639E-2</v>
      </c>
      <c r="L118" s="208">
        <f>SUM(L98:L117)</f>
        <v>82865.378601580916</v>
      </c>
      <c r="M118" s="131" t="s">
        <v>302</v>
      </c>
      <c r="N118" s="228">
        <f>IF(COUNT(N98:N117), SUM(N98:N117) / COUNT(N98:N117), 0)</f>
        <v>2.816577438884783E-2</v>
      </c>
      <c r="O118" s="208">
        <f>SUM(O98:O117)</f>
        <v>84497.323166543458</v>
      </c>
      <c r="Q118" s="303"/>
      <c r="R118" s="304"/>
      <c r="S118" s="305"/>
    </row>
    <row r="120" spans="1:19" ht="17.25" thickBot="1"/>
    <row r="121" spans="1:19" ht="17.25" thickBot="1">
      <c r="A121" s="249" t="s">
        <v>288</v>
      </c>
      <c r="B121" s="250"/>
      <c r="C121" s="250"/>
      <c r="D121" s="250"/>
      <c r="E121" s="250"/>
      <c r="F121" s="250"/>
      <c r="G121" s="250"/>
      <c r="H121" s="250"/>
      <c r="I121" s="250"/>
      <c r="J121" s="250"/>
      <c r="K121" s="250"/>
      <c r="L121" s="250"/>
      <c r="M121" s="250"/>
      <c r="N121" s="250"/>
      <c r="O121" s="251"/>
      <c r="Q121" s="270"/>
      <c r="R121" s="270"/>
      <c r="S121" s="270"/>
    </row>
    <row r="122" spans="1:19" ht="17.25" thickBot="1">
      <c r="A122" s="225" t="s">
        <v>298</v>
      </c>
      <c r="B122" s="249" t="s">
        <v>36</v>
      </c>
      <c r="C122" s="251"/>
      <c r="D122" s="249" t="s">
        <v>58</v>
      </c>
      <c r="E122" s="250"/>
      <c r="F122" s="251"/>
      <c r="G122" s="276">
        <f>_xlfn.IFNA(VLOOKUP(B122, 현재가테이블!$B$2:$D$200, 2, FALSE), "-")</f>
        <v>60874000</v>
      </c>
      <c r="H122" s="277"/>
      <c r="I122" s="278"/>
      <c r="J122" s="249" t="s">
        <v>59</v>
      </c>
      <c r="K122" s="250"/>
      <c r="L122" s="251"/>
      <c r="M122" s="279">
        <f>_xlfn.IFNA(VLOOKUP(B122, 현재가테이블!$B$2:$D$200, 3, FALSE), "-")</f>
        <v>-1.4936000099999999E-2</v>
      </c>
      <c r="N122" s="280"/>
      <c r="O122" s="281"/>
      <c r="Q122" s="270"/>
      <c r="R122" s="270"/>
      <c r="S122" s="270"/>
    </row>
    <row r="123" spans="1:19" ht="17.25" thickBot="1">
      <c r="A123" s="310" t="s">
        <v>55</v>
      </c>
      <c r="B123" s="312" t="str">
        <f>TEXT($G$1, "[$-ko-KR]yyyy-mm-dd(ddd) ") &amp; "오전 00:00"</f>
        <v>2021-05-14(금) 오전 00:00</v>
      </c>
      <c r="C123" s="313"/>
      <c r="D123" s="249" t="str">
        <f>TEXT($G$1, "[$-ko-KR]yyyy-mm-dd(ddd) ") &amp; "오후 14:00"</f>
        <v>2021-05-14(금) 오후 14:00</v>
      </c>
      <c r="E123" s="250"/>
      <c r="F123" s="251"/>
      <c r="G123" s="249" t="str">
        <f>TEXT($G$1, "[$-ko-KR]yyyy-mm-dd(ddd) ") &amp; "오후 19:00"</f>
        <v>2021-05-14(금) 오후 19:00</v>
      </c>
      <c r="H123" s="250"/>
      <c r="I123" s="251"/>
      <c r="J123" s="249" t="str">
        <f>TEXT($G$1, "[$-ko-KR]yyyy-mm-dd(ddd) ") &amp; "오후 21:00"</f>
        <v>2021-05-14(금) 오후 21:00</v>
      </c>
      <c r="K123" s="250"/>
      <c r="L123" s="251"/>
      <c r="M123" s="249" t="str">
        <f>TEXT($G$1+1, "[$-ko-KR]yyyy-mm-dd(ddd) ") &amp; "오전 00:00"</f>
        <v>2021-05-15(토) 오전 00:00</v>
      </c>
      <c r="N123" s="250"/>
      <c r="O123" s="251"/>
      <c r="Q123" s="270"/>
      <c r="R123" s="270"/>
      <c r="S123" s="270"/>
    </row>
    <row r="124" spans="1:19" ht="17.25" thickBot="1">
      <c r="A124" s="311"/>
      <c r="B124" s="120" t="s">
        <v>58</v>
      </c>
      <c r="C124" s="121" t="s">
        <v>59</v>
      </c>
      <c r="D124" s="120" t="s">
        <v>58</v>
      </c>
      <c r="E124" s="121" t="s">
        <v>299</v>
      </c>
      <c r="F124" s="232" t="s">
        <v>300</v>
      </c>
      <c r="G124" s="225" t="s">
        <v>58</v>
      </c>
      <c r="H124" s="226" t="s">
        <v>299</v>
      </c>
      <c r="I124" s="227" t="s">
        <v>300</v>
      </c>
      <c r="J124" s="121" t="s">
        <v>58</v>
      </c>
      <c r="K124" s="121" t="s">
        <v>299</v>
      </c>
      <c r="L124" s="230" t="s">
        <v>300</v>
      </c>
      <c r="M124" s="120" t="s">
        <v>58</v>
      </c>
      <c r="N124" s="121" t="s">
        <v>299</v>
      </c>
      <c r="O124" s="231" t="s">
        <v>300</v>
      </c>
      <c r="Q124" s="275"/>
      <c r="R124" s="275"/>
      <c r="S124" s="275"/>
    </row>
    <row r="125" spans="1:19" ht="17.25" thickBot="1">
      <c r="A125" s="122" t="s">
        <v>220</v>
      </c>
      <c r="B125" s="123">
        <v>16.899999999999999</v>
      </c>
      <c r="C125" s="72">
        <v>8.3333333300000006E-2</v>
      </c>
      <c r="D125" s="123">
        <v>18.399999999999999</v>
      </c>
      <c r="E125" s="72">
        <f>IF(ISNUMBER(D125), (D125 - $B125) / $B125, "")</f>
        <v>8.8757396449704151E-2</v>
      </c>
      <c r="F125" s="140">
        <f>IF(ISNUMBER(D125), $B145 * E125, "")</f>
        <v>13313.609467455623</v>
      </c>
      <c r="G125" s="38">
        <v>18</v>
      </c>
      <c r="H125" s="72">
        <f>IF(ISNUMBER(G125), (G125 - $B125) / $B125, "")</f>
        <v>6.5088757396449801E-2</v>
      </c>
      <c r="I125" s="201">
        <f>IF(ISNUMBER(G125), $B145 * H125, "")</f>
        <v>9763.3136094674701</v>
      </c>
      <c r="J125" s="123">
        <v>18</v>
      </c>
      <c r="K125" s="72">
        <f>IF(ISNUMBER(J125), (J125 - $B125) / $B125, "")</f>
        <v>6.5088757396449801E-2</v>
      </c>
      <c r="L125" s="140">
        <f>IF(ISNUMBER(J125), $B145 * K125, "")</f>
        <v>9763.3136094674701</v>
      </c>
      <c r="M125" s="38">
        <v>17.899999999999999</v>
      </c>
      <c r="N125" s="72">
        <f>IF(ISNUMBER(M125), (M125 - $B125) / $B125, "")</f>
        <v>5.9171597633136098E-2</v>
      </c>
      <c r="O125" s="140">
        <f>IF(ISNUMBER(M125), $B145 * N125, "")</f>
        <v>8875.7396449704156</v>
      </c>
      <c r="Q125" s="270"/>
      <c r="R125" s="270"/>
      <c r="S125" s="270"/>
    </row>
    <row r="126" spans="1:19" ht="17.25" thickBot="1">
      <c r="A126" s="124" t="s">
        <v>268</v>
      </c>
      <c r="B126" s="125">
        <v>77.900000000000006</v>
      </c>
      <c r="C126" s="73">
        <v>5.41271989E-2</v>
      </c>
      <c r="D126" s="125">
        <v>79.3</v>
      </c>
      <c r="E126" s="73">
        <f t="shared" ref="E126:E129" si="62">IF(ISNUMBER(D126), (D126 - $B126) / $B126, "")</f>
        <v>1.797175866495496E-2</v>
      </c>
      <c r="F126" s="136">
        <f>IF(ISNUMBER(D126), $B145 * E126, "")</f>
        <v>2695.7637997432439</v>
      </c>
      <c r="G126" s="39">
        <v>78.900000000000006</v>
      </c>
      <c r="H126" s="73">
        <f t="shared" ref="H126:H129" si="63">IF(ISNUMBER(G126), (G126 - $B126) / $B126, "")</f>
        <v>1.2836970474967907E-2</v>
      </c>
      <c r="I126" s="202">
        <f>IF(ISNUMBER(G126), $B145 * H126, "")</f>
        <v>1925.545571245186</v>
      </c>
      <c r="J126" s="125">
        <v>80.8</v>
      </c>
      <c r="K126" s="73">
        <f t="shared" ref="K126:K129" si="64">IF(ISNUMBER(J126), (J126 - $B126) / $B126, "")</f>
        <v>3.7227214377406823E-2</v>
      </c>
      <c r="L126" s="136">
        <f>IF(ISNUMBER(J126), $B145 * K126, "")</f>
        <v>5584.0821566110235</v>
      </c>
      <c r="M126" s="39">
        <v>79.5</v>
      </c>
      <c r="N126" s="73">
        <f t="shared" ref="N126:N129" si="65">IF(ISNUMBER(M126), (M126 - $B126) / $B126, "")</f>
        <v>2.0539152759948578E-2</v>
      </c>
      <c r="O126" s="136">
        <f>IF(ISNUMBER(M126), $B145 * N126, "")</f>
        <v>3080.8729139922866</v>
      </c>
      <c r="Q126" s="270"/>
      <c r="R126" s="270"/>
      <c r="S126" s="270"/>
    </row>
    <row r="127" spans="1:19" ht="17.25" thickBot="1">
      <c r="A127" s="124" t="s">
        <v>126</v>
      </c>
      <c r="B127" s="125">
        <v>49</v>
      </c>
      <c r="C127" s="73">
        <v>5.3763440900000001E-2</v>
      </c>
      <c r="D127" s="125">
        <v>49.5</v>
      </c>
      <c r="E127" s="73">
        <f t="shared" si="62"/>
        <v>1.020408163265306E-2</v>
      </c>
      <c r="F127" s="136">
        <f>IF(ISNUMBER(D127), $B145 * E127, "")</f>
        <v>1530.612244897959</v>
      </c>
      <c r="G127" s="39">
        <v>49.9</v>
      </c>
      <c r="H127" s="73">
        <f t="shared" si="63"/>
        <v>1.8367346938775481E-2</v>
      </c>
      <c r="I127" s="202">
        <f>IF(ISNUMBER(G127), $B145 * H127, "")</f>
        <v>2755.1020408163222</v>
      </c>
      <c r="J127" s="125">
        <v>51.8</v>
      </c>
      <c r="K127" s="73">
        <f t="shared" si="64"/>
        <v>5.7142857142857086E-2</v>
      </c>
      <c r="L127" s="136">
        <f>IF(ISNUMBER(J127), $B145 * K127, "")</f>
        <v>8571.4285714285634</v>
      </c>
      <c r="M127" s="39">
        <v>52</v>
      </c>
      <c r="N127" s="73">
        <f t="shared" si="65"/>
        <v>6.1224489795918366E-2</v>
      </c>
      <c r="O127" s="136">
        <f>IF(ISNUMBER(M127), $B145 * N127, "")</f>
        <v>9183.6734693877552</v>
      </c>
      <c r="Q127" s="275"/>
      <c r="R127" s="275"/>
      <c r="S127" s="275"/>
    </row>
    <row r="128" spans="1:19" ht="17.25" thickBot="1">
      <c r="A128" s="124" t="s">
        <v>266</v>
      </c>
      <c r="B128" s="125">
        <v>83.1</v>
      </c>
      <c r="C128" s="73">
        <v>4.7919293799999998E-2</v>
      </c>
      <c r="D128" s="125">
        <v>84.5</v>
      </c>
      <c r="E128" s="73">
        <f t="shared" si="62"/>
        <v>1.684717208182919E-2</v>
      </c>
      <c r="F128" s="136">
        <f>IF(ISNUMBER(D128), $B145 * E128, "")</f>
        <v>2527.0758122743787</v>
      </c>
      <c r="G128" s="39">
        <v>85.7</v>
      </c>
      <c r="H128" s="73">
        <f t="shared" si="63"/>
        <v>3.1287605294825618E-2</v>
      </c>
      <c r="I128" s="202">
        <f>IF(ISNUMBER(G128), $B145 * H128, "")</f>
        <v>4693.1407942238429</v>
      </c>
      <c r="J128" s="125">
        <v>84.4</v>
      </c>
      <c r="K128" s="73">
        <f t="shared" si="64"/>
        <v>1.5643802647412892E-2</v>
      </c>
      <c r="L128" s="136">
        <f>IF(ISNUMBER(J128), $B145 * K128, "")</f>
        <v>2346.5703971119337</v>
      </c>
      <c r="M128" s="39">
        <v>85.5</v>
      </c>
      <c r="N128" s="73">
        <f t="shared" si="65"/>
        <v>2.888086642599285E-2</v>
      </c>
      <c r="O128" s="136">
        <f>IF(ISNUMBER(M128), $B145 * N128, "")</f>
        <v>4332.1299638989276</v>
      </c>
      <c r="Q128" s="275"/>
      <c r="R128" s="275"/>
      <c r="S128" s="275"/>
    </row>
    <row r="129" spans="1:19" ht="17.25" thickBot="1">
      <c r="A129" s="126" t="s">
        <v>186</v>
      </c>
      <c r="B129" s="127">
        <v>21</v>
      </c>
      <c r="C129" s="74">
        <v>4.4776119400000002E-2</v>
      </c>
      <c r="D129" s="127">
        <v>24.7</v>
      </c>
      <c r="E129" s="74">
        <f t="shared" si="62"/>
        <v>0.17619047619047615</v>
      </c>
      <c r="F129" s="203">
        <f>IF(ISNUMBER(D129), $B145 * E129, "")</f>
        <v>26428.571428571424</v>
      </c>
      <c r="G129" s="44">
        <v>23.1</v>
      </c>
      <c r="H129" s="74">
        <f t="shared" si="63"/>
        <v>0.10000000000000006</v>
      </c>
      <c r="I129" s="204">
        <f>IF(ISNUMBER(G129), $B145 * H129, "")</f>
        <v>15000.000000000009</v>
      </c>
      <c r="J129" s="127">
        <v>22.9</v>
      </c>
      <c r="K129" s="74">
        <f t="shared" si="64"/>
        <v>9.0476190476190405E-2</v>
      </c>
      <c r="L129" s="203">
        <f>IF(ISNUMBER(J129), $B145 * K129, "")</f>
        <v>13571.428571428562</v>
      </c>
      <c r="M129" s="44">
        <v>23.4</v>
      </c>
      <c r="N129" s="74">
        <f t="shared" si="65"/>
        <v>0.11428571428571421</v>
      </c>
      <c r="O129" s="203">
        <f>IF(ISNUMBER(M129), $B145 * N129, "")</f>
        <v>17142.85714285713</v>
      </c>
      <c r="Q129" s="275"/>
      <c r="R129" s="275"/>
      <c r="S129" s="275"/>
    </row>
    <row r="130" spans="1:19" ht="17.25" thickBot="1">
      <c r="A130" s="124" t="s">
        <v>65</v>
      </c>
      <c r="B130" s="128">
        <v>62.8</v>
      </c>
      <c r="C130" s="76">
        <v>4.3189368800000003E-2</v>
      </c>
      <c r="D130" s="128">
        <v>63.7</v>
      </c>
      <c r="E130" s="76">
        <f>IF(ISNUMBER(D130), (D130 - $B130) / $B130, "")</f>
        <v>1.4331210191082893E-2</v>
      </c>
      <c r="F130" s="205">
        <f>IF(ISNUMBER(D130), $B145 * E130, "")</f>
        <v>2149.6815286624342</v>
      </c>
      <c r="G130" s="45">
        <v>65.7</v>
      </c>
      <c r="H130" s="76">
        <f>IF(ISNUMBER(G130), (G130 - $B130) / $B130, "")</f>
        <v>4.617834394904468E-2</v>
      </c>
      <c r="I130" s="206">
        <f>IF(ISNUMBER(G130), $B145 * H130, "")</f>
        <v>6926.7515923567016</v>
      </c>
      <c r="J130" s="128">
        <v>65.2</v>
      </c>
      <c r="K130" s="76">
        <f>IF(ISNUMBER(J130), (J130 - $B130) / $B130, "")</f>
        <v>3.8216560509554236E-2</v>
      </c>
      <c r="L130" s="205">
        <f>IF(ISNUMBER(J130), $B145 * K130, "")</f>
        <v>5732.4840764331357</v>
      </c>
      <c r="M130" s="45">
        <v>64.400000000000006</v>
      </c>
      <c r="N130" s="76">
        <f>IF(ISNUMBER(M130), (M130 - $B130) / $B130, "")</f>
        <v>2.5477707006369563E-2</v>
      </c>
      <c r="O130" s="205">
        <f>IF(ISNUMBER(M130), $B145 * N130, "")</f>
        <v>3821.6560509554347</v>
      </c>
      <c r="Q130" s="275"/>
      <c r="R130" s="275"/>
      <c r="S130" s="275"/>
    </row>
    <row r="131" spans="1:19" ht="17.25" thickBot="1">
      <c r="A131" s="124" t="s">
        <v>152</v>
      </c>
      <c r="B131" s="125">
        <v>38.799999999999997</v>
      </c>
      <c r="C131" s="73">
        <v>4.0214477200000001E-2</v>
      </c>
      <c r="D131" s="125">
        <v>38.9</v>
      </c>
      <c r="E131" s="73">
        <f t="shared" ref="E131:E134" si="66">IF(ISNUMBER(D131), (D131 - $B131) / $B131, "")</f>
        <v>2.5773195876289028E-3</v>
      </c>
      <c r="F131" s="136">
        <f>IF(ISNUMBER(D131), $B145 * E131, "")</f>
        <v>386.59793814433544</v>
      </c>
      <c r="G131" s="39">
        <v>39.700000000000003</v>
      </c>
      <c r="H131" s="73">
        <f t="shared" ref="H131:H134" si="67">IF(ISNUMBER(G131), (G131 - $B131) / $B131, "")</f>
        <v>2.319587628865994E-2</v>
      </c>
      <c r="I131" s="202">
        <f>IF(ISNUMBER(G131), $B145 * H131, "")</f>
        <v>3479.3814432989911</v>
      </c>
      <c r="J131" s="125">
        <v>39.6</v>
      </c>
      <c r="K131" s="73">
        <f t="shared" ref="K131:K134" si="68">IF(ISNUMBER(J131), (J131 - $B131) / $B131, "")</f>
        <v>2.0618556701031038E-2</v>
      </c>
      <c r="L131" s="136">
        <f>IF(ISNUMBER(J131), $B145 * K131, "")</f>
        <v>3092.7835051546558</v>
      </c>
      <c r="M131" s="39">
        <v>39.9</v>
      </c>
      <c r="N131" s="73">
        <f t="shared" ref="N131:N134" si="69">IF(ISNUMBER(M131), (M131 - $B131) / $B131, "")</f>
        <v>2.8350515463917564E-2</v>
      </c>
      <c r="O131" s="136">
        <f>IF(ISNUMBER(M131), $B145 * N131, "")</f>
        <v>4252.5773195876345</v>
      </c>
      <c r="Q131" s="275"/>
      <c r="R131" s="275"/>
      <c r="S131" s="275"/>
    </row>
    <row r="132" spans="1:19" ht="17.25" thickBot="1">
      <c r="A132" s="124" t="s">
        <v>72</v>
      </c>
      <c r="B132" s="125">
        <v>31.5</v>
      </c>
      <c r="C132" s="73">
        <v>3.9603960399999999E-2</v>
      </c>
      <c r="D132" s="125">
        <v>31.8</v>
      </c>
      <c r="E132" s="73">
        <f t="shared" si="66"/>
        <v>9.5238095238095472E-3</v>
      </c>
      <c r="F132" s="136">
        <f>IF(ISNUMBER(D132), $B145 * E132, "")</f>
        <v>1428.5714285714321</v>
      </c>
      <c r="G132" s="39">
        <v>32.299999999999997</v>
      </c>
      <c r="H132" s="73">
        <f t="shared" si="67"/>
        <v>2.5396825396825307E-2</v>
      </c>
      <c r="I132" s="202">
        <f>IF(ISNUMBER(G132), $B145 * H132, "")</f>
        <v>3809.523809523796</v>
      </c>
      <c r="J132" s="125">
        <v>32.1</v>
      </c>
      <c r="K132" s="73">
        <f t="shared" si="68"/>
        <v>1.9047619047619094E-2</v>
      </c>
      <c r="L132" s="136">
        <f>IF(ISNUMBER(J132), $B145 * K132, "")</f>
        <v>2857.1428571428642</v>
      </c>
      <c r="M132" s="39">
        <v>31.7</v>
      </c>
      <c r="N132" s="73">
        <f t="shared" si="69"/>
        <v>6.3492063492063266E-3</v>
      </c>
      <c r="O132" s="136">
        <f>IF(ISNUMBER(M132), $B145 * N132, "")</f>
        <v>952.380952380949</v>
      </c>
      <c r="Q132" s="275"/>
      <c r="R132" s="275"/>
      <c r="S132" s="275"/>
    </row>
    <row r="133" spans="1:19" ht="17.25" thickBot="1">
      <c r="A133" s="124" t="s">
        <v>254</v>
      </c>
      <c r="B133" s="125">
        <v>72.900000000000006</v>
      </c>
      <c r="C133" s="73">
        <v>3.6984352800000002E-2</v>
      </c>
      <c r="D133" s="125">
        <v>71.599999999999994</v>
      </c>
      <c r="E133" s="73">
        <f t="shared" si="66"/>
        <v>-1.7832647462277248E-2</v>
      </c>
      <c r="F133" s="136">
        <f>IF(ISNUMBER(D133), $B145 * E133, "")</f>
        <v>-2674.8971193415873</v>
      </c>
      <c r="G133" s="39">
        <v>72.599999999999994</v>
      </c>
      <c r="H133" s="73">
        <f t="shared" si="67"/>
        <v>-4.1152263374487153E-3</v>
      </c>
      <c r="I133" s="202">
        <f>IF(ISNUMBER(G133), $B145 * H133, "")</f>
        <v>-617.28395061730726</v>
      </c>
      <c r="J133" s="125">
        <v>73.3</v>
      </c>
      <c r="K133" s="73">
        <f t="shared" si="68"/>
        <v>5.4869684499312954E-3</v>
      </c>
      <c r="L133" s="136">
        <f>IF(ISNUMBER(J133), $B145 * K133, "")</f>
        <v>823.04526748969431</v>
      </c>
      <c r="M133" s="39">
        <v>72.900000000000006</v>
      </c>
      <c r="N133" s="73">
        <f t="shared" si="69"/>
        <v>0</v>
      </c>
      <c r="O133" s="136">
        <f>IF(ISNUMBER(M133), $B145 * N133, "")</f>
        <v>0</v>
      </c>
      <c r="Q133" s="33"/>
      <c r="R133" s="33"/>
    </row>
    <row r="134" spans="1:19" ht="17.25" thickBot="1">
      <c r="A134" s="129" t="s">
        <v>222</v>
      </c>
      <c r="B134" s="130">
        <v>15.7</v>
      </c>
      <c r="C134" s="75">
        <v>3.2894736799999998E-2</v>
      </c>
      <c r="D134" s="130">
        <v>16</v>
      </c>
      <c r="E134" s="75">
        <f t="shared" si="66"/>
        <v>1.9108280254777118E-2</v>
      </c>
      <c r="F134" s="137">
        <f>IF(ISNUMBER(D134), $B145 * E134, "")</f>
        <v>2866.2420382165678</v>
      </c>
      <c r="G134" s="37">
        <v>16</v>
      </c>
      <c r="H134" s="75">
        <f t="shared" si="67"/>
        <v>1.9108280254777118E-2</v>
      </c>
      <c r="I134" s="207">
        <f>IF(ISNUMBER(G134), $B145 * H134, "")</f>
        <v>2866.2420382165678</v>
      </c>
      <c r="J134" s="130">
        <v>16</v>
      </c>
      <c r="K134" s="75">
        <f t="shared" si="68"/>
        <v>1.9108280254777118E-2</v>
      </c>
      <c r="L134" s="137">
        <f>IF(ISNUMBER(J134), $B145 * K134, "")</f>
        <v>2866.2420382165678</v>
      </c>
      <c r="M134" s="37">
        <v>16.100000000000001</v>
      </c>
      <c r="N134" s="75">
        <f t="shared" si="69"/>
        <v>2.5477707006369563E-2</v>
      </c>
      <c r="O134" s="137">
        <f>IF(ISNUMBER(M134), $B145 * N134, "")</f>
        <v>3821.6560509554347</v>
      </c>
      <c r="Q134" s="284"/>
      <c r="R134" s="285"/>
      <c r="S134" s="286"/>
    </row>
    <row r="135" spans="1:19">
      <c r="A135" s="122" t="s">
        <v>100</v>
      </c>
      <c r="B135" s="123">
        <v>7.39</v>
      </c>
      <c r="C135" s="72">
        <v>3.0683403099999999E-2</v>
      </c>
      <c r="D135" s="123">
        <v>7.43</v>
      </c>
      <c r="E135" s="72">
        <f>IF(ISNUMBER(D135), (D135 - $B135) / $B135, "")</f>
        <v>5.4127198917456069E-3</v>
      </c>
      <c r="F135" s="140">
        <f>IF(ISNUMBER(D135), $B145 * E135, "")</f>
        <v>811.90798376184102</v>
      </c>
      <c r="G135" s="38">
        <v>7.52</v>
      </c>
      <c r="H135" s="72">
        <f>IF(ISNUMBER(G135), (G135 - $B135) / $B135, "")</f>
        <v>1.7591339648173193E-2</v>
      </c>
      <c r="I135" s="201">
        <f>IF(ISNUMBER(G135), $B145 * H135, "")</f>
        <v>2638.7009472259788</v>
      </c>
      <c r="J135" s="123">
        <v>7.56</v>
      </c>
      <c r="K135" s="72">
        <f>IF(ISNUMBER(J135), (J135 - $B135) / $B135, "")</f>
        <v>2.3004059539918801E-2</v>
      </c>
      <c r="L135" s="140">
        <f>IF(ISNUMBER(J135), $B145 * K135, "")</f>
        <v>3450.6089309878203</v>
      </c>
      <c r="M135" s="38">
        <v>7.53</v>
      </c>
      <c r="N135" s="72">
        <f>IF(ISNUMBER(M135), (M135 - $B135) / $B135, "")</f>
        <v>1.8944519621109684E-2</v>
      </c>
      <c r="O135" s="140">
        <f>IF(ISNUMBER(M135), $B145 * N135, "")</f>
        <v>2841.6779431664527</v>
      </c>
      <c r="Q135" s="287"/>
      <c r="R135" s="288"/>
      <c r="S135" s="289"/>
    </row>
    <row r="136" spans="1:19" ht="17.25" thickBot="1">
      <c r="A136" s="124" t="s">
        <v>198</v>
      </c>
      <c r="B136" s="125">
        <v>23.8</v>
      </c>
      <c r="C136" s="73">
        <v>3.0303030299999999E-2</v>
      </c>
      <c r="D136" s="125">
        <v>24</v>
      </c>
      <c r="E136" s="73">
        <f t="shared" ref="E136:E139" si="70">IF(ISNUMBER(D136), (D136 - $B136) / $B136, "")</f>
        <v>8.4033613445377853E-3</v>
      </c>
      <c r="F136" s="136">
        <f>IF(ISNUMBER(D136), $B145 * E136, "")</f>
        <v>1260.5042016806678</v>
      </c>
      <c r="G136" s="39">
        <v>24.2</v>
      </c>
      <c r="H136" s="73">
        <f t="shared" ref="H136:H139" si="71">IF(ISNUMBER(G136), (G136 - $B136) / $B136, "")</f>
        <v>1.6806722689075571E-2</v>
      </c>
      <c r="I136" s="202">
        <f>IF(ISNUMBER(G136), $B145 * H136, "")</f>
        <v>2521.0084033613357</v>
      </c>
      <c r="J136" s="125">
        <v>24.2</v>
      </c>
      <c r="K136" s="73">
        <f t="shared" ref="K136:K139" si="72">IF(ISNUMBER(J136), (J136 - $B136) / $B136, "")</f>
        <v>1.6806722689075571E-2</v>
      </c>
      <c r="L136" s="136">
        <f>IF(ISNUMBER(J136), $B145 * K136, "")</f>
        <v>2521.0084033613357</v>
      </c>
      <c r="M136" s="39">
        <v>24.1</v>
      </c>
      <c r="N136" s="73">
        <f t="shared" ref="N136:N139" si="73">IF(ISNUMBER(M136), (M136 - $B136) / $B136, "")</f>
        <v>1.2605042016806753E-2</v>
      </c>
      <c r="O136" s="136">
        <f>IF(ISNUMBER(M136), $B145 * N136, "")</f>
        <v>1890.7563025210129</v>
      </c>
      <c r="Q136" s="290"/>
      <c r="R136" s="291"/>
      <c r="S136" s="292"/>
    </row>
    <row r="137" spans="1:19" ht="17.25" thickBot="1">
      <c r="A137" s="124" t="s">
        <v>196</v>
      </c>
      <c r="B137" s="125">
        <v>17.399999999999999</v>
      </c>
      <c r="C137" s="73">
        <v>2.95857988E-2</v>
      </c>
      <c r="D137" s="125">
        <v>17.899999999999999</v>
      </c>
      <c r="E137" s="73">
        <f t="shared" si="70"/>
        <v>2.8735632183908049E-2</v>
      </c>
      <c r="F137" s="136">
        <f>IF(ISNUMBER(D137), $B145 * E137, "")</f>
        <v>4310.3448275862074</v>
      </c>
      <c r="G137" s="39">
        <v>17.8</v>
      </c>
      <c r="H137" s="73">
        <f t="shared" si="71"/>
        <v>2.2988505747126561E-2</v>
      </c>
      <c r="I137" s="202">
        <f>IF(ISNUMBER(G137), $B145 * H137, "")</f>
        <v>3448.2758620689842</v>
      </c>
      <c r="J137" s="125">
        <v>17.7</v>
      </c>
      <c r="K137" s="73">
        <f t="shared" si="72"/>
        <v>1.7241379310344869E-2</v>
      </c>
      <c r="L137" s="136">
        <f>IF(ISNUMBER(J137), $B145 * K137, "")</f>
        <v>2586.2068965517306</v>
      </c>
      <c r="M137" s="39">
        <v>17.8</v>
      </c>
      <c r="N137" s="73">
        <f t="shared" si="73"/>
        <v>2.2988505747126561E-2</v>
      </c>
      <c r="O137" s="136">
        <f>IF(ISNUMBER(M137), $B145 * N137, "")</f>
        <v>3448.2758620689842</v>
      </c>
      <c r="Q137" s="275"/>
      <c r="R137" s="275"/>
      <c r="S137" s="275"/>
    </row>
    <row r="138" spans="1:19" ht="17.25" thickBot="1">
      <c r="A138" s="124" t="s">
        <v>218</v>
      </c>
      <c r="B138" s="125">
        <v>23</v>
      </c>
      <c r="C138" s="73">
        <v>2.6785714299999999E-2</v>
      </c>
      <c r="D138" s="125">
        <v>23.6</v>
      </c>
      <c r="E138" s="73">
        <f t="shared" si="70"/>
        <v>2.6086956521739191E-2</v>
      </c>
      <c r="F138" s="136">
        <f>IF(ISNUMBER(D138), $B145 * E138, "")</f>
        <v>3913.0434782608786</v>
      </c>
      <c r="G138" s="39">
        <v>23.7</v>
      </c>
      <c r="H138" s="73">
        <f t="shared" si="71"/>
        <v>3.0434782608695622E-2</v>
      </c>
      <c r="I138" s="202">
        <f>IF(ISNUMBER(G138), $B145 * H138, "")</f>
        <v>4565.2173913043434</v>
      </c>
      <c r="J138" s="125">
        <v>23.3</v>
      </c>
      <c r="K138" s="73">
        <f t="shared" si="72"/>
        <v>1.3043478260869596E-2</v>
      </c>
      <c r="L138" s="136">
        <f>IF(ISNUMBER(J138), $B145 * K138, "")</f>
        <v>1956.5217391304393</v>
      </c>
      <c r="M138" s="39">
        <v>23.6</v>
      </c>
      <c r="N138" s="73">
        <f t="shared" si="73"/>
        <v>2.6086956521739191E-2</v>
      </c>
      <c r="O138" s="136">
        <f>IF(ISNUMBER(M138), $B145 * N138, "")</f>
        <v>3913.0434782608786</v>
      </c>
      <c r="Q138" s="270"/>
      <c r="R138" s="270"/>
      <c r="S138" s="270"/>
    </row>
    <row r="139" spans="1:19" ht="17.25" thickBot="1">
      <c r="A139" s="126" t="s">
        <v>154</v>
      </c>
      <c r="B139" s="127">
        <v>17.5</v>
      </c>
      <c r="C139" s="74">
        <v>2.33918129E-2</v>
      </c>
      <c r="D139" s="127">
        <v>17.899999999999999</v>
      </c>
      <c r="E139" s="74">
        <f t="shared" si="70"/>
        <v>2.2857142857142777E-2</v>
      </c>
      <c r="F139" s="203">
        <f>IF(ISNUMBER(D139), $B145 * E139, "")</f>
        <v>3428.5714285714166</v>
      </c>
      <c r="G139" s="44">
        <v>17.8</v>
      </c>
      <c r="H139" s="74">
        <f t="shared" si="71"/>
        <v>1.7142857142857182E-2</v>
      </c>
      <c r="I139" s="204">
        <f>IF(ISNUMBER(G139), $B145 * H139, "")</f>
        <v>2571.4285714285775</v>
      </c>
      <c r="J139" s="127">
        <v>17.899999999999999</v>
      </c>
      <c r="K139" s="74">
        <f t="shared" si="72"/>
        <v>2.2857142857142777E-2</v>
      </c>
      <c r="L139" s="203">
        <f>IF(ISNUMBER(J139), $B145 * K139, "")</f>
        <v>3428.5714285714166</v>
      </c>
      <c r="M139" s="44">
        <v>17.8</v>
      </c>
      <c r="N139" s="74">
        <f t="shared" si="73"/>
        <v>1.7142857142857182E-2</v>
      </c>
      <c r="O139" s="203">
        <f>IF(ISNUMBER(M139), $B145 * N139, "")</f>
        <v>2571.4285714285775</v>
      </c>
      <c r="Q139" s="270"/>
      <c r="R139" s="270"/>
      <c r="S139" s="270"/>
    </row>
    <row r="140" spans="1:19" ht="17.25" thickBot="1">
      <c r="A140" s="124" t="s">
        <v>214</v>
      </c>
      <c r="B140" s="128">
        <v>19.5</v>
      </c>
      <c r="C140" s="76">
        <v>2.0942408400000001E-2</v>
      </c>
      <c r="D140" s="128">
        <v>19.2</v>
      </c>
      <c r="E140" s="76">
        <f>IF(ISNUMBER(D140), (D140 - $B140) / $B140, "")</f>
        <v>-1.5384615384615422E-2</v>
      </c>
      <c r="F140" s="205">
        <f>IF(ISNUMBER(D140), $B145 * E140, "")</f>
        <v>-2307.6923076923131</v>
      </c>
      <c r="G140" s="45">
        <v>19.3</v>
      </c>
      <c r="H140" s="76">
        <f>IF(ISNUMBER(G140), (G140 - $B140) / $B140, "")</f>
        <v>-1.025641025641022E-2</v>
      </c>
      <c r="I140" s="206">
        <f>IF(ISNUMBER(G140), $B145 * H140, "")</f>
        <v>-1538.4615384615331</v>
      </c>
      <c r="J140" s="128">
        <v>19.399999999999999</v>
      </c>
      <c r="K140" s="76">
        <f>IF(ISNUMBER(J140), (J140 - $B140) / $B140, "")</f>
        <v>-5.1282051282052011E-3</v>
      </c>
      <c r="L140" s="205">
        <f>IF(ISNUMBER(J140), $B145 * K140, "")</f>
        <v>-769.2307692307802</v>
      </c>
      <c r="M140" s="45">
        <v>19.5</v>
      </c>
      <c r="N140" s="76">
        <f>IF(ISNUMBER(M140), (M140 - $B140) / $B140, "")</f>
        <v>0</v>
      </c>
      <c r="O140" s="205">
        <f>IF(ISNUMBER(M140), $B145 * N140, "")</f>
        <v>0</v>
      </c>
      <c r="Q140" s="275"/>
      <c r="R140" s="275"/>
      <c r="S140" s="275"/>
    </row>
    <row r="141" spans="1:19" ht="17.25" thickBot="1">
      <c r="A141" s="124" t="s">
        <v>228</v>
      </c>
      <c r="B141" s="125">
        <v>15.8</v>
      </c>
      <c r="C141" s="73">
        <v>1.9354838700000002E-2</v>
      </c>
      <c r="D141" s="125">
        <v>15.9</v>
      </c>
      <c r="E141" s="73">
        <f t="shared" ref="E141:E144" si="74">IF(ISNUMBER(D141), (D141 - $B141) / $B141, "")</f>
        <v>6.3291139240506103E-3</v>
      </c>
      <c r="F141" s="136">
        <f>IF(ISNUMBER(D141), $B145 * E141, "")</f>
        <v>949.36708860759154</v>
      </c>
      <c r="G141" s="39">
        <v>15.9</v>
      </c>
      <c r="H141" s="73">
        <f t="shared" ref="H141:H144" si="75">IF(ISNUMBER(G141), (G141 - $B141) / $B141, "")</f>
        <v>6.3291139240506103E-3</v>
      </c>
      <c r="I141" s="202">
        <f>IF(ISNUMBER(G141), $B145 * H141, "")</f>
        <v>949.36708860759154</v>
      </c>
      <c r="J141" s="125">
        <v>15.9</v>
      </c>
      <c r="K141" s="73">
        <f t="shared" ref="K141:K144" si="76">IF(ISNUMBER(J141), (J141 - $B141) / $B141, "")</f>
        <v>6.3291139240506103E-3</v>
      </c>
      <c r="L141" s="136">
        <f>IF(ISNUMBER(J141), $B145 * K141, "")</f>
        <v>949.36708860759154</v>
      </c>
      <c r="M141" s="39">
        <v>16</v>
      </c>
      <c r="N141" s="73">
        <f t="shared" ref="N141:N144" si="77">IF(ISNUMBER(M141), (M141 - $B141) / $B141, "")</f>
        <v>1.2658227848101221E-2</v>
      </c>
      <c r="O141" s="136">
        <f>IF(ISNUMBER(M141), $B145 * N141, "")</f>
        <v>1898.7341772151831</v>
      </c>
      <c r="Q141" s="275"/>
      <c r="R141" s="275"/>
      <c r="S141" s="275"/>
    </row>
    <row r="142" spans="1:19" ht="17.25" thickBot="1">
      <c r="A142" s="124" t="s">
        <v>236</v>
      </c>
      <c r="B142" s="125">
        <v>72.2</v>
      </c>
      <c r="C142" s="73">
        <v>-2.82637954E-2</v>
      </c>
      <c r="D142" s="125">
        <v>69</v>
      </c>
      <c r="E142" s="73">
        <f t="shared" si="74"/>
        <v>-4.4321329639889231E-2</v>
      </c>
      <c r="F142" s="136">
        <f>IF(ISNUMBER(D142), $B145 * E142, "")</f>
        <v>-6648.199445983385</v>
      </c>
      <c r="G142" s="39">
        <v>68.900000000000006</v>
      </c>
      <c r="H142" s="73">
        <f t="shared" si="75"/>
        <v>-4.5706371191135693E-2</v>
      </c>
      <c r="I142" s="202">
        <f>IF(ISNUMBER(G142), $B145 * H142, "")</f>
        <v>-6855.9556786703542</v>
      </c>
      <c r="J142" s="125">
        <v>69.099999999999994</v>
      </c>
      <c r="K142" s="73">
        <f t="shared" si="76"/>
        <v>-4.2936288088642777E-2</v>
      </c>
      <c r="L142" s="136">
        <f>IF(ISNUMBER(J142), $B145 * K142, "")</f>
        <v>-6440.4432132964166</v>
      </c>
      <c r="M142" s="39">
        <v>69.099999999999994</v>
      </c>
      <c r="N142" s="73">
        <f t="shared" si="77"/>
        <v>-4.2936288088642777E-2</v>
      </c>
      <c r="O142" s="136">
        <f>IF(ISNUMBER(M142), $B145 * N142, "")</f>
        <v>-6440.4432132964166</v>
      </c>
      <c r="Q142" s="275"/>
      <c r="R142" s="275"/>
      <c r="S142" s="275"/>
    </row>
    <row r="143" spans="1:19">
      <c r="A143" s="124" t="s">
        <v>172</v>
      </c>
      <c r="B143" s="125">
        <v>23.8</v>
      </c>
      <c r="C143" s="73">
        <v>-8.4615384599999996E-2</v>
      </c>
      <c r="D143" s="125">
        <v>23</v>
      </c>
      <c r="E143" s="73">
        <f t="shared" si="74"/>
        <v>-3.3613445378151287E-2</v>
      </c>
      <c r="F143" s="136">
        <f>IF(ISNUMBER(D143), $B145 * E143, "")</f>
        <v>-5042.0168067226932</v>
      </c>
      <c r="G143" s="39">
        <v>23.1</v>
      </c>
      <c r="H143" s="73">
        <f t="shared" si="75"/>
        <v>-2.9411764705882321E-2</v>
      </c>
      <c r="I143" s="202">
        <f>IF(ISNUMBER(G143), $B145 * H143, "")</f>
        <v>-4411.7647058823486</v>
      </c>
      <c r="J143" s="125">
        <v>23.1</v>
      </c>
      <c r="K143" s="73">
        <f t="shared" si="76"/>
        <v>-2.9411764705882321E-2</v>
      </c>
      <c r="L143" s="136">
        <f>IF(ISNUMBER(J143), $B145 * K143, "")</f>
        <v>-4411.7647058823486</v>
      </c>
      <c r="M143" s="39">
        <v>23</v>
      </c>
      <c r="N143" s="73">
        <f t="shared" si="77"/>
        <v>-3.3613445378151287E-2</v>
      </c>
      <c r="O143" s="136">
        <f>IF(ISNUMBER(M143), $B145 * N143, "")</f>
        <v>-5042.0168067226932</v>
      </c>
      <c r="Q143" s="297"/>
      <c r="R143" s="298"/>
      <c r="S143" s="299"/>
    </row>
    <row r="144" spans="1:19" ht="17.25" thickBot="1">
      <c r="A144" s="129" t="s">
        <v>404</v>
      </c>
      <c r="B144" s="130">
        <v>422</v>
      </c>
      <c r="C144" s="75">
        <v>4.4600000000000001E-2</v>
      </c>
      <c r="D144" s="130">
        <v>427</v>
      </c>
      <c r="E144" s="75">
        <f t="shared" si="74"/>
        <v>1.1848341232227487E-2</v>
      </c>
      <c r="F144" s="137">
        <f>IF(ISNUMBER(D144), $B145 * E144, "")</f>
        <v>1777.251184834123</v>
      </c>
      <c r="G144" s="37">
        <v>433</v>
      </c>
      <c r="H144" s="75">
        <f t="shared" si="75"/>
        <v>2.6066350710900472E-2</v>
      </c>
      <c r="I144" s="207">
        <f>IF(ISNUMBER(G144), $B145 * H144, "")</f>
        <v>3909.9526066350709</v>
      </c>
      <c r="J144" s="130">
        <v>430</v>
      </c>
      <c r="K144" s="75">
        <f t="shared" si="76"/>
        <v>1.8957345971563982E-2</v>
      </c>
      <c r="L144" s="137">
        <f>IF(ISNUMBER(J144), $B145 * K144, "")</f>
        <v>2843.6018957345973</v>
      </c>
      <c r="M144" s="37">
        <v>431</v>
      </c>
      <c r="N144" s="75">
        <f t="shared" si="77"/>
        <v>2.132701421800948E-2</v>
      </c>
      <c r="O144" s="137">
        <f>IF(ISNUMBER(M144), $B145 * N144, "")</f>
        <v>3199.0521327014221</v>
      </c>
      <c r="Q144" s="300"/>
      <c r="R144" s="301"/>
      <c r="S144" s="302"/>
    </row>
    <row r="145" spans="1:19" ht="17.25" thickBot="1">
      <c r="A145" s="131" t="s">
        <v>301</v>
      </c>
      <c r="B145" s="308">
        <f>$B$37</f>
        <v>150000</v>
      </c>
      <c r="C145" s="309"/>
      <c r="D145" s="131" t="s">
        <v>302</v>
      </c>
      <c r="E145" s="228">
        <f>IF(COUNT(E125:E144), SUM(E125:E144) / COUNT(E125:E144), 0)</f>
        <v>1.7701636733366718E-2</v>
      </c>
      <c r="F145" s="208">
        <f>SUM(F125:F144)</f>
        <v>53104.910200100145</v>
      </c>
      <c r="G145" s="131" t="s">
        <v>302</v>
      </c>
      <c r="H145" s="228">
        <f>IF(COUNT(H125:H144), SUM(H125:H144) / COUNT(H125:H144), 0)</f>
        <v>1.9466495298716413E-2</v>
      </c>
      <c r="I145" s="208">
        <f>SUM(I125:I144)</f>
        <v>58399.485896149228</v>
      </c>
      <c r="J145" s="131" t="s">
        <v>302</v>
      </c>
      <c r="K145" s="228">
        <f>IF(COUNT(K125:K144), SUM(K125:K144) / COUNT(K125:K144), 0)</f>
        <v>2.0440989581673286E-2</v>
      </c>
      <c r="L145" s="208">
        <f>SUM(L125:L144)</f>
        <v>61322.968745019854</v>
      </c>
      <c r="M145" s="131" t="s">
        <v>302</v>
      </c>
      <c r="N145" s="228">
        <f>IF(COUNT(N125:N144), SUM(N125:N144) / COUNT(N125:N144), 0)</f>
        <v>2.1248017318776465E-2</v>
      </c>
      <c r="O145" s="208">
        <f>SUM(O125:O144)</f>
        <v>63744.051956329371</v>
      </c>
      <c r="Q145" s="303"/>
      <c r="R145" s="304"/>
      <c r="S145" s="305"/>
    </row>
    <row r="147" spans="1:19" ht="17.25" thickBot="1"/>
    <row r="148" spans="1:19" ht="17.25" thickBot="1">
      <c r="A148" s="249" t="s">
        <v>289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1"/>
      <c r="Q148" s="270"/>
      <c r="R148" s="270"/>
      <c r="S148" s="270"/>
    </row>
    <row r="149" spans="1:19" ht="17.25" thickBot="1">
      <c r="A149" s="225" t="s">
        <v>298</v>
      </c>
      <c r="B149" s="249" t="s">
        <v>49</v>
      </c>
      <c r="C149" s="251"/>
      <c r="D149" s="249" t="s">
        <v>58</v>
      </c>
      <c r="E149" s="250"/>
      <c r="F149" s="251"/>
      <c r="G149" s="276">
        <f>_xlfn.IFNA(VLOOKUP(B149, 현재가테이블!$B$2:$D$200, 2, FALSE), "-")</f>
        <v>60874000</v>
      </c>
      <c r="H149" s="277"/>
      <c r="I149" s="278"/>
      <c r="J149" s="249" t="s">
        <v>59</v>
      </c>
      <c r="K149" s="250"/>
      <c r="L149" s="251"/>
      <c r="M149" s="279">
        <f>_xlfn.IFNA(VLOOKUP(B149, 현재가테이블!$B$2:$D$200, 3, FALSE), "-")</f>
        <v>-1.4936000099999999E-2</v>
      </c>
      <c r="N149" s="280"/>
      <c r="O149" s="281"/>
      <c r="Q149" s="270"/>
      <c r="R149" s="270"/>
      <c r="S149" s="270"/>
    </row>
    <row r="150" spans="1:19" ht="17.25" thickBot="1">
      <c r="A150" s="310" t="s">
        <v>55</v>
      </c>
      <c r="B150" s="312" t="str">
        <f>TEXT($G$1, "[$-ko-KR]yyyy-mm-dd(ddd) ") &amp; "오전 00:00"</f>
        <v>2021-05-14(금) 오전 00:00</v>
      </c>
      <c r="C150" s="313"/>
      <c r="D150" s="249" t="str">
        <f>TEXT($G$1, "[$-ko-KR]yyyy-mm-dd(ddd) ") &amp; "오후 14:00"</f>
        <v>2021-05-14(금) 오후 14:00</v>
      </c>
      <c r="E150" s="250"/>
      <c r="F150" s="251"/>
      <c r="G150" s="249" t="str">
        <f>TEXT($G$1, "[$-ko-KR]yyyy-mm-dd(ddd) ") &amp; "오후 19:00"</f>
        <v>2021-05-14(금) 오후 19:00</v>
      </c>
      <c r="H150" s="250"/>
      <c r="I150" s="251"/>
      <c r="J150" s="249" t="str">
        <f>TEXT($G$1, "[$-ko-KR]yyyy-mm-dd(ddd) ") &amp; "오후 21:00"</f>
        <v>2021-05-14(금) 오후 21:00</v>
      </c>
      <c r="K150" s="250"/>
      <c r="L150" s="251"/>
      <c r="M150" s="249" t="str">
        <f>TEXT($G$1+1, "[$-ko-KR]yyyy-mm-dd(ddd) ") &amp; "오전 00:00"</f>
        <v>2021-05-15(토) 오전 00:00</v>
      </c>
      <c r="N150" s="250"/>
      <c r="O150" s="251"/>
      <c r="Q150" s="270"/>
      <c r="R150" s="270"/>
      <c r="S150" s="270"/>
    </row>
    <row r="151" spans="1:19" ht="17.25" thickBot="1">
      <c r="A151" s="311"/>
      <c r="B151" s="120" t="s">
        <v>58</v>
      </c>
      <c r="C151" s="121" t="s">
        <v>59</v>
      </c>
      <c r="D151" s="120" t="s">
        <v>58</v>
      </c>
      <c r="E151" s="121" t="s">
        <v>299</v>
      </c>
      <c r="F151" s="232" t="s">
        <v>300</v>
      </c>
      <c r="G151" s="225" t="s">
        <v>58</v>
      </c>
      <c r="H151" s="226" t="s">
        <v>299</v>
      </c>
      <c r="I151" s="227" t="s">
        <v>300</v>
      </c>
      <c r="J151" s="121" t="s">
        <v>58</v>
      </c>
      <c r="K151" s="121" t="s">
        <v>299</v>
      </c>
      <c r="L151" s="230" t="s">
        <v>300</v>
      </c>
      <c r="M151" s="120" t="s">
        <v>58</v>
      </c>
      <c r="N151" s="121" t="s">
        <v>299</v>
      </c>
      <c r="O151" s="231" t="s">
        <v>300</v>
      </c>
      <c r="Q151" s="275"/>
      <c r="R151" s="275"/>
      <c r="S151" s="275"/>
    </row>
    <row r="152" spans="1:19" ht="17.25" thickBot="1">
      <c r="A152" s="122" t="s">
        <v>202</v>
      </c>
      <c r="B152" s="123">
        <v>165</v>
      </c>
      <c r="C152" s="72">
        <v>4.4303797499999999E-2</v>
      </c>
      <c r="D152" s="123">
        <v>166</v>
      </c>
      <c r="E152" s="72">
        <f>IF(ISNUMBER(D152), (D152 - $B152) / $B152, "")</f>
        <v>6.0606060606060606E-3</v>
      </c>
      <c r="F152" s="140">
        <f>IF(ISNUMBER(D152), $B172 * E152, "")</f>
        <v>909.09090909090912</v>
      </c>
      <c r="G152" s="38">
        <v>168</v>
      </c>
      <c r="H152" s="72">
        <f>IF(ISNUMBER(G152), (G152 - $B152) / $B152, "")</f>
        <v>1.8181818181818181E-2</v>
      </c>
      <c r="I152" s="201">
        <f>IF(ISNUMBER(G152), $B172 * H152, "")</f>
        <v>2727.272727272727</v>
      </c>
      <c r="J152" s="123">
        <v>168</v>
      </c>
      <c r="K152" s="72">
        <f>IF(ISNUMBER(J152), (J152 - $B152) / $B152, "")</f>
        <v>1.8181818181818181E-2</v>
      </c>
      <c r="L152" s="140">
        <f>IF(ISNUMBER(J152), $B172 * K152, "")</f>
        <v>2727.272727272727</v>
      </c>
      <c r="M152" s="38">
        <v>166</v>
      </c>
      <c r="N152" s="72">
        <f>IF(ISNUMBER(M152), (M152 - $B152) / $B152, "")</f>
        <v>6.0606060606060606E-3</v>
      </c>
      <c r="O152" s="140">
        <f>IF(ISNUMBER(M152), $B172 * N152, "")</f>
        <v>909.09090909090912</v>
      </c>
      <c r="Q152" s="270"/>
      <c r="R152" s="270"/>
      <c r="S152" s="270"/>
    </row>
    <row r="153" spans="1:19" ht="17.25" thickBot="1">
      <c r="A153" s="124" t="s">
        <v>264</v>
      </c>
      <c r="B153" s="125">
        <v>147</v>
      </c>
      <c r="C153" s="73">
        <v>4.2553191499999997E-2</v>
      </c>
      <c r="D153" s="125">
        <v>147</v>
      </c>
      <c r="E153" s="73">
        <f t="shared" ref="E153:E156" si="78">IF(ISNUMBER(D153), (D153 - $B153) / $B153, "")</f>
        <v>0</v>
      </c>
      <c r="F153" s="136">
        <f>IF(ISNUMBER(D153), $B172 * E153, "")</f>
        <v>0</v>
      </c>
      <c r="G153" s="39">
        <v>149</v>
      </c>
      <c r="H153" s="73">
        <f t="shared" ref="H153:H156" si="79">IF(ISNUMBER(G153), (G153 - $B153) / $B153, "")</f>
        <v>1.3605442176870748E-2</v>
      </c>
      <c r="I153" s="202">
        <f>IF(ISNUMBER(G153), $B172 * H153, "")</f>
        <v>2040.8163265306121</v>
      </c>
      <c r="J153" s="125">
        <v>148</v>
      </c>
      <c r="K153" s="73">
        <f t="shared" ref="K153:K156" si="80">IF(ISNUMBER(J153), (J153 - $B153) / $B153, "")</f>
        <v>6.8027210884353739E-3</v>
      </c>
      <c r="L153" s="136">
        <f>IF(ISNUMBER(J153), $B172 * K153, "")</f>
        <v>1020.408163265306</v>
      </c>
      <c r="M153" s="39">
        <v>149</v>
      </c>
      <c r="N153" s="73">
        <f t="shared" ref="N153:N156" si="81">IF(ISNUMBER(M153), (M153 - $B153) / $B153, "")</f>
        <v>1.3605442176870748E-2</v>
      </c>
      <c r="O153" s="136">
        <f>IF(ISNUMBER(M153), $B172 * N153, "")</f>
        <v>2040.8163265306121</v>
      </c>
      <c r="Q153" s="270"/>
      <c r="R153" s="270"/>
      <c r="S153" s="270"/>
    </row>
    <row r="154" spans="1:19" ht="17.25" thickBot="1">
      <c r="A154" s="124" t="s">
        <v>148</v>
      </c>
      <c r="B154" s="125">
        <v>175</v>
      </c>
      <c r="C154" s="73">
        <v>4.16666667E-2</v>
      </c>
      <c r="D154" s="125">
        <v>171</v>
      </c>
      <c r="E154" s="73">
        <f t="shared" si="78"/>
        <v>-2.2857142857142857E-2</v>
      </c>
      <c r="F154" s="136">
        <f>IF(ISNUMBER(D154), $B172 * E154, "")</f>
        <v>-3428.5714285714284</v>
      </c>
      <c r="G154" s="39">
        <v>175</v>
      </c>
      <c r="H154" s="73">
        <f t="shared" si="79"/>
        <v>0</v>
      </c>
      <c r="I154" s="202">
        <f>IF(ISNUMBER(G154), $B172 * H154, "")</f>
        <v>0</v>
      </c>
      <c r="J154" s="125">
        <v>175</v>
      </c>
      <c r="K154" s="73">
        <f t="shared" si="80"/>
        <v>0</v>
      </c>
      <c r="L154" s="136">
        <f>IF(ISNUMBER(J154), $B172 * K154, "")</f>
        <v>0</v>
      </c>
      <c r="M154" s="39">
        <v>174</v>
      </c>
      <c r="N154" s="73">
        <f t="shared" si="81"/>
        <v>-5.7142857142857143E-3</v>
      </c>
      <c r="O154" s="136">
        <f>IF(ISNUMBER(M154), $B172 * N154, "")</f>
        <v>-857.14285714285711</v>
      </c>
      <c r="Q154" s="275"/>
      <c r="R154" s="275"/>
      <c r="S154" s="275"/>
    </row>
    <row r="155" spans="1:19" ht="17.25" thickBot="1">
      <c r="A155" s="124" t="s">
        <v>57</v>
      </c>
      <c r="B155" s="125">
        <v>385</v>
      </c>
      <c r="C155" s="73">
        <v>4.05405405E-2</v>
      </c>
      <c r="D155" s="125">
        <v>387</v>
      </c>
      <c r="E155" s="73">
        <f t="shared" si="78"/>
        <v>5.1948051948051948E-3</v>
      </c>
      <c r="F155" s="136">
        <f>IF(ISNUMBER(D155), $B172 * E155, "")</f>
        <v>779.22077922077926</v>
      </c>
      <c r="G155" s="39">
        <v>394</v>
      </c>
      <c r="H155" s="73">
        <f t="shared" si="79"/>
        <v>2.3376623376623377E-2</v>
      </c>
      <c r="I155" s="202">
        <f>IF(ISNUMBER(G155), $B172 * H155, "")</f>
        <v>3506.4935064935066</v>
      </c>
      <c r="J155" s="125">
        <v>394</v>
      </c>
      <c r="K155" s="73">
        <f t="shared" si="80"/>
        <v>2.3376623376623377E-2</v>
      </c>
      <c r="L155" s="136">
        <f>IF(ISNUMBER(J155), $B172 * K155, "")</f>
        <v>3506.4935064935066</v>
      </c>
      <c r="M155" s="39">
        <v>395</v>
      </c>
      <c r="N155" s="73">
        <f t="shared" si="81"/>
        <v>2.5974025974025976E-2</v>
      </c>
      <c r="O155" s="136">
        <f>IF(ISNUMBER(M155), $B172 * N155, "")</f>
        <v>3896.1038961038962</v>
      </c>
      <c r="Q155" s="275"/>
      <c r="R155" s="275"/>
      <c r="S155" s="275"/>
    </row>
    <row r="156" spans="1:19" ht="17.25" thickBot="1">
      <c r="A156" s="126" t="s">
        <v>210</v>
      </c>
      <c r="B156" s="127">
        <v>164</v>
      </c>
      <c r="C156" s="74">
        <v>3.7974683500000002E-2</v>
      </c>
      <c r="D156" s="127">
        <v>163</v>
      </c>
      <c r="E156" s="74">
        <f t="shared" si="78"/>
        <v>-6.0975609756097563E-3</v>
      </c>
      <c r="F156" s="203">
        <f>IF(ISNUMBER(D156), $B172 * E156, "")</f>
        <v>-914.63414634146341</v>
      </c>
      <c r="G156" s="44">
        <v>166</v>
      </c>
      <c r="H156" s="74">
        <f t="shared" si="79"/>
        <v>1.2195121951219513E-2</v>
      </c>
      <c r="I156" s="204">
        <f>IF(ISNUMBER(G156), $B172 * H156, "")</f>
        <v>1829.2682926829268</v>
      </c>
      <c r="J156" s="127">
        <v>165</v>
      </c>
      <c r="K156" s="74">
        <f t="shared" si="80"/>
        <v>6.0975609756097563E-3</v>
      </c>
      <c r="L156" s="203">
        <f>IF(ISNUMBER(J156), $B172 * K156, "")</f>
        <v>914.63414634146341</v>
      </c>
      <c r="M156" s="44">
        <v>165</v>
      </c>
      <c r="N156" s="74">
        <f t="shared" si="81"/>
        <v>6.0975609756097563E-3</v>
      </c>
      <c r="O156" s="203">
        <f>IF(ISNUMBER(M156), $B172 * N156, "")</f>
        <v>914.63414634146341</v>
      </c>
      <c r="Q156" s="275"/>
      <c r="R156" s="275"/>
      <c r="S156" s="275"/>
    </row>
    <row r="157" spans="1:19" ht="17.25" thickBot="1">
      <c r="A157" s="124" t="s">
        <v>170</v>
      </c>
      <c r="B157" s="128">
        <v>467</v>
      </c>
      <c r="C157" s="76">
        <v>3.5476718400000003E-2</v>
      </c>
      <c r="D157" s="128">
        <v>488</v>
      </c>
      <c r="E157" s="76">
        <f>IF(ISNUMBER(D157), (D157 - $B157) / $B157, "")</f>
        <v>4.4967880085653104E-2</v>
      </c>
      <c r="F157" s="205">
        <f>IF(ISNUMBER(D157), $B172 * E157, "")</f>
        <v>6745.1820128479658</v>
      </c>
      <c r="G157" s="45">
        <v>494</v>
      </c>
      <c r="H157" s="76">
        <f>IF(ISNUMBER(G157), (G157 - $B157) / $B157, "")</f>
        <v>5.7815845824411134E-2</v>
      </c>
      <c r="I157" s="206">
        <f>IF(ISNUMBER(G157), $B172 * H157, "")</f>
        <v>8672.3768736616694</v>
      </c>
      <c r="J157" s="128">
        <v>499</v>
      </c>
      <c r="K157" s="76">
        <f>IF(ISNUMBER(J157), (J157 - $B157) / $B157, "")</f>
        <v>6.852248394004283E-2</v>
      </c>
      <c r="L157" s="205">
        <f>IF(ISNUMBER(J157), $B172 * K157, "")</f>
        <v>10278.372591006424</v>
      </c>
      <c r="M157" s="45">
        <v>499</v>
      </c>
      <c r="N157" s="76">
        <f>IF(ISNUMBER(M157), (M157 - $B157) / $B157, "")</f>
        <v>6.852248394004283E-2</v>
      </c>
      <c r="O157" s="205">
        <f>IF(ISNUMBER(M157), $B172 * N157, "")</f>
        <v>10278.372591006424</v>
      </c>
      <c r="Q157" s="275"/>
      <c r="R157" s="275"/>
      <c r="S157" s="275"/>
    </row>
    <row r="158" spans="1:19" ht="17.25" thickBot="1">
      <c r="A158" s="124" t="s">
        <v>278</v>
      </c>
      <c r="B158" s="125">
        <v>138</v>
      </c>
      <c r="C158" s="73">
        <v>2.9850746300000001E-2</v>
      </c>
      <c r="D158" s="125">
        <v>138</v>
      </c>
      <c r="E158" s="73">
        <f t="shared" ref="E158:E161" si="82">IF(ISNUMBER(D158), (D158 - $B158) / $B158, "")</f>
        <v>0</v>
      </c>
      <c r="F158" s="136">
        <f>IF(ISNUMBER(D158), $B172 * E158, "")</f>
        <v>0</v>
      </c>
      <c r="G158" s="39">
        <v>140</v>
      </c>
      <c r="H158" s="73">
        <f t="shared" ref="H158:H161" si="83">IF(ISNUMBER(G158), (G158 - $B158) / $B158, "")</f>
        <v>1.4492753623188406E-2</v>
      </c>
      <c r="I158" s="202">
        <f>IF(ISNUMBER(G158), $B172 * H158, "")</f>
        <v>2173.913043478261</v>
      </c>
      <c r="J158" s="125">
        <v>140</v>
      </c>
      <c r="K158" s="73">
        <f t="shared" ref="K158:K161" si="84">IF(ISNUMBER(J158), (J158 - $B158) / $B158, "")</f>
        <v>1.4492753623188406E-2</v>
      </c>
      <c r="L158" s="136">
        <f>IF(ISNUMBER(J158), $B172 * K158, "")</f>
        <v>2173.913043478261</v>
      </c>
      <c r="M158" s="39">
        <v>140</v>
      </c>
      <c r="N158" s="73">
        <f t="shared" ref="N158:N161" si="85">IF(ISNUMBER(M158), (M158 - $B158) / $B158, "")</f>
        <v>1.4492753623188406E-2</v>
      </c>
      <c r="O158" s="136">
        <f>IF(ISNUMBER(M158), $B172 * N158, "")</f>
        <v>2173.913043478261</v>
      </c>
      <c r="Q158" s="275"/>
      <c r="R158" s="275"/>
      <c r="S158" s="275"/>
    </row>
    <row r="159" spans="1:19" ht="17.25" thickBot="1">
      <c r="A159" s="124" t="s">
        <v>250</v>
      </c>
      <c r="B159" s="125">
        <v>174</v>
      </c>
      <c r="C159" s="73">
        <v>2.95857988E-2</v>
      </c>
      <c r="D159" s="125">
        <v>176</v>
      </c>
      <c r="E159" s="73">
        <f t="shared" si="82"/>
        <v>1.1494252873563218E-2</v>
      </c>
      <c r="F159" s="136">
        <f>IF(ISNUMBER(D159), $B172 * E159, "")</f>
        <v>1724.1379310344828</v>
      </c>
      <c r="G159" s="39">
        <v>178</v>
      </c>
      <c r="H159" s="73">
        <f t="shared" si="83"/>
        <v>2.2988505747126436E-2</v>
      </c>
      <c r="I159" s="202">
        <f>IF(ISNUMBER(G159), $B172 * H159, "")</f>
        <v>3448.2758620689656</v>
      </c>
      <c r="J159" s="125">
        <v>180</v>
      </c>
      <c r="K159" s="73">
        <f t="shared" si="84"/>
        <v>3.4482758620689655E-2</v>
      </c>
      <c r="L159" s="136">
        <f>IF(ISNUMBER(J159), $B172 * K159, "")</f>
        <v>5172.4137931034484</v>
      </c>
      <c r="M159" s="39">
        <v>179</v>
      </c>
      <c r="N159" s="73">
        <f t="shared" si="85"/>
        <v>2.8735632183908046E-2</v>
      </c>
      <c r="O159" s="136">
        <f>IF(ISNUMBER(M159), $B172 * N159, "")</f>
        <v>4310.3448275862065</v>
      </c>
      <c r="Q159" s="275"/>
      <c r="R159" s="275"/>
      <c r="S159" s="275"/>
    </row>
    <row r="160" spans="1:19" ht="17.25" thickBot="1">
      <c r="A160" s="124" t="s">
        <v>232</v>
      </c>
      <c r="B160" s="125">
        <v>144</v>
      </c>
      <c r="C160" s="73">
        <v>2.85714286E-2</v>
      </c>
      <c r="D160" s="125">
        <v>149</v>
      </c>
      <c r="E160" s="73">
        <f t="shared" si="82"/>
        <v>3.4722222222222224E-2</v>
      </c>
      <c r="F160" s="136">
        <f>IF(ISNUMBER(D160), $B172 * E160, "")</f>
        <v>5208.3333333333339</v>
      </c>
      <c r="G160" s="39">
        <v>151</v>
      </c>
      <c r="H160" s="73">
        <f t="shared" si="83"/>
        <v>4.8611111111111112E-2</v>
      </c>
      <c r="I160" s="202">
        <f>IF(ISNUMBER(G160), $B172 * H160, "")</f>
        <v>7291.666666666667</v>
      </c>
      <c r="J160" s="125">
        <v>150</v>
      </c>
      <c r="K160" s="73">
        <f t="shared" si="84"/>
        <v>4.1666666666666664E-2</v>
      </c>
      <c r="L160" s="136">
        <f>IF(ISNUMBER(J160), $B172 * K160, "")</f>
        <v>6250</v>
      </c>
      <c r="M160" s="39">
        <v>150</v>
      </c>
      <c r="N160" s="73">
        <f t="shared" si="85"/>
        <v>4.1666666666666664E-2</v>
      </c>
      <c r="O160" s="136">
        <f>IF(ISNUMBER(M160), $B172 * N160, "")</f>
        <v>6250</v>
      </c>
      <c r="Q160" s="33"/>
      <c r="R160" s="33"/>
    </row>
    <row r="161" spans="1:19" ht="17.25" thickBot="1">
      <c r="A161" s="129" t="s">
        <v>284</v>
      </c>
      <c r="B161" s="130">
        <v>402</v>
      </c>
      <c r="C161" s="75">
        <v>2.81329923E-2</v>
      </c>
      <c r="D161" s="130">
        <v>400</v>
      </c>
      <c r="E161" s="75">
        <f t="shared" si="82"/>
        <v>-4.9751243781094526E-3</v>
      </c>
      <c r="F161" s="137">
        <f>IF(ISNUMBER(D161), $B172 * E161, "")</f>
        <v>-746.26865671641792</v>
      </c>
      <c r="G161" s="37">
        <v>405</v>
      </c>
      <c r="H161" s="75">
        <f t="shared" si="83"/>
        <v>7.462686567164179E-3</v>
      </c>
      <c r="I161" s="207">
        <f>IF(ISNUMBER(G161), $B172 * H161, "")</f>
        <v>1119.4029850746269</v>
      </c>
      <c r="J161" s="130">
        <v>406</v>
      </c>
      <c r="K161" s="75">
        <f t="shared" si="84"/>
        <v>9.9502487562189053E-3</v>
      </c>
      <c r="L161" s="137">
        <f>IF(ISNUMBER(J161), $B172 * K161, "")</f>
        <v>1492.5373134328358</v>
      </c>
      <c r="M161" s="37">
        <v>422</v>
      </c>
      <c r="N161" s="75">
        <f t="shared" si="85"/>
        <v>4.975124378109453E-2</v>
      </c>
      <c r="O161" s="137">
        <f>IF(ISNUMBER(M161), $B172 * N161, "")</f>
        <v>7462.6865671641799</v>
      </c>
      <c r="Q161" s="284"/>
      <c r="R161" s="285"/>
      <c r="S161" s="286"/>
    </row>
    <row r="162" spans="1:19">
      <c r="A162" s="122" t="s">
        <v>282</v>
      </c>
      <c r="B162" s="123">
        <v>149</v>
      </c>
      <c r="C162" s="72">
        <v>2.75862069E-2</v>
      </c>
      <c r="D162" s="123">
        <v>148</v>
      </c>
      <c r="E162" s="72">
        <f>IF(ISNUMBER(D162), (D162 - $B162) / $B162, "")</f>
        <v>-6.7114093959731542E-3</v>
      </c>
      <c r="F162" s="140">
        <f>IF(ISNUMBER(D162), $B172 * E162, "")</f>
        <v>-1006.7114093959731</v>
      </c>
      <c r="G162" s="38">
        <v>150</v>
      </c>
      <c r="H162" s="72">
        <f>IF(ISNUMBER(G162), (G162 - $B162) / $B162, "")</f>
        <v>6.7114093959731542E-3</v>
      </c>
      <c r="I162" s="201">
        <f>IF(ISNUMBER(G162), $B172 * H162, "")</f>
        <v>1006.7114093959731</v>
      </c>
      <c r="J162" s="123">
        <v>150</v>
      </c>
      <c r="K162" s="72">
        <f>IF(ISNUMBER(J162), (J162 - $B162) / $B162, "")</f>
        <v>6.7114093959731542E-3</v>
      </c>
      <c r="L162" s="140">
        <f>IF(ISNUMBER(J162), $B172 * K162, "")</f>
        <v>1006.7114093959731</v>
      </c>
      <c r="M162" s="38">
        <v>149</v>
      </c>
      <c r="N162" s="72">
        <f>IF(ISNUMBER(M162), (M162 - $B162) / $B162, "")</f>
        <v>0</v>
      </c>
      <c r="O162" s="140">
        <f>IF(ISNUMBER(M162), $B172 * N162, "")</f>
        <v>0</v>
      </c>
      <c r="Q162" s="287"/>
      <c r="R162" s="288"/>
      <c r="S162" s="289"/>
    </row>
    <row r="163" spans="1:19" ht="17.25" thickBot="1">
      <c r="A163" s="124" t="s">
        <v>112</v>
      </c>
      <c r="B163" s="125">
        <v>227</v>
      </c>
      <c r="C163" s="73">
        <v>2.7149321300000001E-2</v>
      </c>
      <c r="D163" s="125">
        <v>232</v>
      </c>
      <c r="E163" s="73">
        <f t="shared" ref="E163:E166" si="86">IF(ISNUMBER(D163), (D163 - $B163) / $B163, "")</f>
        <v>2.2026431718061675E-2</v>
      </c>
      <c r="F163" s="136">
        <f>IF(ISNUMBER(D163), $B172 * E163, "")</f>
        <v>3303.9647577092514</v>
      </c>
      <c r="G163" s="39">
        <v>231</v>
      </c>
      <c r="H163" s="73">
        <f t="shared" ref="H163:H166" si="87">IF(ISNUMBER(G163), (G163 - $B163) / $B163, "")</f>
        <v>1.7621145374449341E-2</v>
      </c>
      <c r="I163" s="202">
        <f>IF(ISNUMBER(G163), $B172 * H163, "")</f>
        <v>2643.171806167401</v>
      </c>
      <c r="J163" s="125">
        <v>232</v>
      </c>
      <c r="K163" s="73">
        <f t="shared" ref="K163:K166" si="88">IF(ISNUMBER(J163), (J163 - $B163) / $B163, "")</f>
        <v>2.2026431718061675E-2</v>
      </c>
      <c r="L163" s="136">
        <f>IF(ISNUMBER(J163), $B172 * K163, "")</f>
        <v>3303.9647577092514</v>
      </c>
      <c r="M163" s="39">
        <v>230</v>
      </c>
      <c r="N163" s="73">
        <f t="shared" ref="N163:N166" si="89">IF(ISNUMBER(M163), (M163 - $B163) / $B163, "")</f>
        <v>1.3215859030837005E-2</v>
      </c>
      <c r="O163" s="136">
        <f>IF(ISNUMBER(M163), $B172 * N163, "")</f>
        <v>1982.3788546255507</v>
      </c>
      <c r="Q163" s="290"/>
      <c r="R163" s="291"/>
      <c r="S163" s="292"/>
    </row>
    <row r="164" spans="1:19" ht="17.25" thickBot="1">
      <c r="A164" s="124" t="s">
        <v>51</v>
      </c>
      <c r="B164" s="125">
        <v>755</v>
      </c>
      <c r="C164" s="73">
        <v>2.58152174E-2</v>
      </c>
      <c r="D164" s="125">
        <v>851</v>
      </c>
      <c r="E164" s="73">
        <f t="shared" si="86"/>
        <v>0.1271523178807947</v>
      </c>
      <c r="F164" s="136">
        <f>IF(ISNUMBER(D164), $B172 * E164, "")</f>
        <v>19072.847682119205</v>
      </c>
      <c r="G164" s="39">
        <v>845</v>
      </c>
      <c r="H164" s="73">
        <f t="shared" si="87"/>
        <v>0.11920529801324503</v>
      </c>
      <c r="I164" s="202">
        <f>IF(ISNUMBER(G164), $B172 * H164, "")</f>
        <v>17880.794701986753</v>
      </c>
      <c r="J164" s="125">
        <v>829</v>
      </c>
      <c r="K164" s="73">
        <f t="shared" si="88"/>
        <v>9.8013245033112581E-2</v>
      </c>
      <c r="L164" s="136">
        <f>IF(ISNUMBER(J164), $B172 * K164, "")</f>
        <v>14701.986754966887</v>
      </c>
      <c r="M164" s="39">
        <v>818</v>
      </c>
      <c r="N164" s="73">
        <f t="shared" si="89"/>
        <v>8.3443708609271527E-2</v>
      </c>
      <c r="O164" s="136">
        <f>IF(ISNUMBER(M164), $B172 * N164, "")</f>
        <v>12516.556291390729</v>
      </c>
      <c r="Q164" s="275"/>
      <c r="R164" s="275"/>
      <c r="S164" s="275"/>
    </row>
    <row r="165" spans="1:19" ht="17.25" thickBot="1">
      <c r="A165" s="124" t="s">
        <v>212</v>
      </c>
      <c r="B165" s="125">
        <v>123</v>
      </c>
      <c r="C165" s="73">
        <v>2.5000000000000001E-2</v>
      </c>
      <c r="D165" s="125">
        <v>124</v>
      </c>
      <c r="E165" s="73">
        <f t="shared" si="86"/>
        <v>8.130081300813009E-3</v>
      </c>
      <c r="F165" s="136">
        <f>IF(ISNUMBER(D165), $B172 * E165, "")</f>
        <v>1219.5121951219514</v>
      </c>
      <c r="G165" s="39">
        <v>126</v>
      </c>
      <c r="H165" s="73">
        <f t="shared" si="87"/>
        <v>2.4390243902439025E-2</v>
      </c>
      <c r="I165" s="202">
        <f>IF(ISNUMBER(G165), $B172 * H165, "")</f>
        <v>3658.5365853658536</v>
      </c>
      <c r="J165" s="125">
        <v>126</v>
      </c>
      <c r="K165" s="73">
        <f t="shared" si="88"/>
        <v>2.4390243902439025E-2</v>
      </c>
      <c r="L165" s="136">
        <f>IF(ISNUMBER(J165), $B172 * K165, "")</f>
        <v>3658.5365853658536</v>
      </c>
      <c r="M165" s="39">
        <v>127</v>
      </c>
      <c r="N165" s="73">
        <f t="shared" si="89"/>
        <v>3.2520325203252036E-2</v>
      </c>
      <c r="O165" s="136">
        <f>IF(ISNUMBER(M165), $B172 * N165, "")</f>
        <v>4878.0487804878057</v>
      </c>
      <c r="Q165" s="270"/>
      <c r="R165" s="270"/>
      <c r="S165" s="270"/>
    </row>
    <row r="166" spans="1:19" ht="17.25" thickBot="1">
      <c r="A166" s="126" t="s">
        <v>168</v>
      </c>
      <c r="B166" s="127">
        <v>194</v>
      </c>
      <c r="C166" s="74">
        <v>2.10526316E-2</v>
      </c>
      <c r="D166" s="127">
        <v>197</v>
      </c>
      <c r="E166" s="74">
        <f t="shared" si="86"/>
        <v>1.5463917525773196E-2</v>
      </c>
      <c r="F166" s="203">
        <f>IF(ISNUMBER(D166), $B172 * E166, "")</f>
        <v>2319.5876288659792</v>
      </c>
      <c r="G166" s="44">
        <v>199</v>
      </c>
      <c r="H166" s="74">
        <f t="shared" si="87"/>
        <v>2.5773195876288658E-2</v>
      </c>
      <c r="I166" s="204">
        <f>IF(ISNUMBER(G166), $B172 * H166, "")</f>
        <v>3865.9793814432987</v>
      </c>
      <c r="J166" s="127">
        <v>201</v>
      </c>
      <c r="K166" s="74">
        <f t="shared" si="88"/>
        <v>3.608247422680412E-2</v>
      </c>
      <c r="L166" s="203">
        <f>IF(ISNUMBER(J166), $B172 * K166, "")</f>
        <v>5412.3711340206182</v>
      </c>
      <c r="M166" s="44">
        <v>201</v>
      </c>
      <c r="N166" s="74">
        <f t="shared" si="89"/>
        <v>3.608247422680412E-2</v>
      </c>
      <c r="O166" s="203">
        <f>IF(ISNUMBER(M166), $B172 * N166, "")</f>
        <v>5412.3711340206182</v>
      </c>
      <c r="Q166" s="270"/>
      <c r="R166" s="270"/>
      <c r="S166" s="270"/>
    </row>
    <row r="167" spans="1:19" ht="17.25" thickBot="1">
      <c r="A167" s="124" t="s">
        <v>252</v>
      </c>
      <c r="B167" s="128">
        <v>445</v>
      </c>
      <c r="C167" s="76">
        <v>2.0642201799999999E-2</v>
      </c>
      <c r="D167" s="128">
        <v>440</v>
      </c>
      <c r="E167" s="76">
        <f>IF(ISNUMBER(D167), (D167 - $B167) / $B167, "")</f>
        <v>-1.1235955056179775E-2</v>
      </c>
      <c r="F167" s="205">
        <f>IF(ISNUMBER(D167), $B172 * E167, "")</f>
        <v>-1685.3932584269662</v>
      </c>
      <c r="G167" s="45">
        <v>447</v>
      </c>
      <c r="H167" s="76">
        <f>IF(ISNUMBER(G167), (G167 - $B167) / $B167, "")</f>
        <v>4.4943820224719105E-3</v>
      </c>
      <c r="I167" s="206">
        <f>IF(ISNUMBER(G167), $B172 * H167, "")</f>
        <v>674.15730337078662</v>
      </c>
      <c r="J167" s="128">
        <v>450</v>
      </c>
      <c r="K167" s="76">
        <f>IF(ISNUMBER(J167), (J167 - $B167) / $B167, "")</f>
        <v>1.1235955056179775E-2</v>
      </c>
      <c r="L167" s="205">
        <f>IF(ISNUMBER(J167), $B172 * K167, "")</f>
        <v>1685.3932584269662</v>
      </c>
      <c r="M167" s="45">
        <v>446</v>
      </c>
      <c r="N167" s="76">
        <f>IF(ISNUMBER(M167), (M167 - $B167) / $B167, "")</f>
        <v>2.2471910112359553E-3</v>
      </c>
      <c r="O167" s="205">
        <f>IF(ISNUMBER(M167), $B172 * N167, "")</f>
        <v>337.07865168539331</v>
      </c>
      <c r="Q167" s="275"/>
      <c r="R167" s="275"/>
      <c r="S167" s="275"/>
    </row>
    <row r="168" spans="1:19" ht="17.25" thickBot="1">
      <c r="A168" s="124" t="s">
        <v>200</v>
      </c>
      <c r="B168" s="125">
        <v>300</v>
      </c>
      <c r="C168" s="73">
        <v>2.0408163300000001E-2</v>
      </c>
      <c r="D168" s="125">
        <v>302</v>
      </c>
      <c r="E168" s="73">
        <f t="shared" ref="E168:E171" si="90">IF(ISNUMBER(D168), (D168 - $B168) / $B168, "")</f>
        <v>6.6666666666666671E-3</v>
      </c>
      <c r="F168" s="136">
        <f>IF(ISNUMBER(D168), $B172 * E168, "")</f>
        <v>1000.0000000000001</v>
      </c>
      <c r="G168" s="39">
        <v>305</v>
      </c>
      <c r="H168" s="73">
        <f t="shared" ref="H168:H171" si="91">IF(ISNUMBER(G168), (G168 - $B168) / $B168, "")</f>
        <v>1.6666666666666666E-2</v>
      </c>
      <c r="I168" s="202">
        <f>IF(ISNUMBER(G168), $B172 * H168, "")</f>
        <v>2500</v>
      </c>
      <c r="J168" s="125">
        <v>305</v>
      </c>
      <c r="K168" s="73">
        <f t="shared" ref="K168:K171" si="92">IF(ISNUMBER(J168), (J168 - $B168) / $B168, "")</f>
        <v>1.6666666666666666E-2</v>
      </c>
      <c r="L168" s="136">
        <f>IF(ISNUMBER(J168), $B172 * K168, "")</f>
        <v>2500</v>
      </c>
      <c r="M168" s="39">
        <v>305</v>
      </c>
      <c r="N168" s="73">
        <f t="shared" ref="N168:N171" si="93">IF(ISNUMBER(M168), (M168 - $B168) / $B168, "")</f>
        <v>1.6666666666666666E-2</v>
      </c>
      <c r="O168" s="136">
        <f>IF(ISNUMBER(M168), $B172 * N168, "")</f>
        <v>2500</v>
      </c>
      <c r="Q168" s="275"/>
      <c r="R168" s="275"/>
      <c r="S168" s="275"/>
    </row>
    <row r="169" spans="1:19" ht="17.25" thickBot="1">
      <c r="A169" s="124" t="s">
        <v>156</v>
      </c>
      <c r="B169" s="125">
        <v>151</v>
      </c>
      <c r="C169" s="73">
        <v>2.02702703E-2</v>
      </c>
      <c r="D169" s="125">
        <v>153</v>
      </c>
      <c r="E169" s="73">
        <f t="shared" si="90"/>
        <v>1.3245033112582781E-2</v>
      </c>
      <c r="F169" s="136">
        <f>IF(ISNUMBER(D169), $B172 * E169, "")</f>
        <v>1986.7549668874171</v>
      </c>
      <c r="G169" s="39">
        <v>156</v>
      </c>
      <c r="H169" s="73">
        <f t="shared" si="91"/>
        <v>3.3112582781456956E-2</v>
      </c>
      <c r="I169" s="202">
        <f>IF(ISNUMBER(G169), $B172 * H169, "")</f>
        <v>4966.8874172185433</v>
      </c>
      <c r="J169" s="125">
        <v>155</v>
      </c>
      <c r="K169" s="73">
        <f t="shared" si="92"/>
        <v>2.6490066225165563E-2</v>
      </c>
      <c r="L169" s="136">
        <f>IF(ISNUMBER(J169), $B172 * K169, "")</f>
        <v>3973.5099337748343</v>
      </c>
      <c r="M169" s="39">
        <v>155</v>
      </c>
      <c r="N169" s="73">
        <f t="shared" si="93"/>
        <v>2.6490066225165563E-2</v>
      </c>
      <c r="O169" s="136">
        <f>IF(ISNUMBER(M169), $B172 * N169, "")</f>
        <v>3973.5099337748343</v>
      </c>
      <c r="Q169" s="275"/>
      <c r="R169" s="275"/>
      <c r="S169" s="275"/>
    </row>
    <row r="170" spans="1:19">
      <c r="A170" s="124" t="s">
        <v>208</v>
      </c>
      <c r="B170" s="125">
        <v>448</v>
      </c>
      <c r="C170" s="73">
        <v>-6.2761506300000006E-2</v>
      </c>
      <c r="D170" s="125">
        <v>445</v>
      </c>
      <c r="E170" s="73">
        <f t="shared" si="90"/>
        <v>-6.6964285714285711E-3</v>
      </c>
      <c r="F170" s="136">
        <f>IF(ISNUMBER(D170), $B172 * E170, "")</f>
        <v>-1004.4642857142857</v>
      </c>
      <c r="G170" s="39">
        <v>446</v>
      </c>
      <c r="H170" s="73">
        <f t="shared" si="91"/>
        <v>-4.464285714285714E-3</v>
      </c>
      <c r="I170" s="202">
        <f>IF(ISNUMBER(G170), $B172 * H170, "")</f>
        <v>-669.64285714285711</v>
      </c>
      <c r="J170" s="125">
        <v>449</v>
      </c>
      <c r="K170" s="73">
        <f t="shared" si="92"/>
        <v>2.232142857142857E-3</v>
      </c>
      <c r="L170" s="136">
        <f>IF(ISNUMBER(J170), $B172 * K170, "")</f>
        <v>334.82142857142856</v>
      </c>
      <c r="M170" s="39">
        <v>450</v>
      </c>
      <c r="N170" s="73">
        <f t="shared" si="93"/>
        <v>4.464285714285714E-3</v>
      </c>
      <c r="O170" s="136">
        <f>IF(ISNUMBER(M170), $B172 * N170, "")</f>
        <v>669.64285714285711</v>
      </c>
      <c r="Q170" s="297"/>
      <c r="R170" s="298"/>
      <c r="S170" s="299"/>
    </row>
    <row r="171" spans="1:19" ht="17.25" thickBot="1">
      <c r="A171" s="129" t="s">
        <v>182</v>
      </c>
      <c r="B171" s="130">
        <v>553</v>
      </c>
      <c r="C171" s="75">
        <v>-0.1439628483</v>
      </c>
      <c r="D171" s="130">
        <v>521</v>
      </c>
      <c r="E171" s="75">
        <f t="shared" si="90"/>
        <v>-5.7866184448462928E-2</v>
      </c>
      <c r="F171" s="137">
        <f>IF(ISNUMBER(D171), $B172 * E171, "")</f>
        <v>-8679.9276672694396</v>
      </c>
      <c r="G171" s="37">
        <v>522</v>
      </c>
      <c r="H171" s="75">
        <f t="shared" si="91"/>
        <v>-5.6057866184448461E-2</v>
      </c>
      <c r="I171" s="207">
        <f>IF(ISNUMBER(G171), $B172 * H171, "")</f>
        <v>-8408.67992766727</v>
      </c>
      <c r="J171" s="130">
        <v>523</v>
      </c>
      <c r="K171" s="75">
        <f t="shared" si="92"/>
        <v>-5.4249547920433995E-2</v>
      </c>
      <c r="L171" s="137">
        <f>IF(ISNUMBER(J171), $B172 * K171, "")</f>
        <v>-8137.4321880650996</v>
      </c>
      <c r="M171" s="37">
        <v>523</v>
      </c>
      <c r="N171" s="75">
        <f t="shared" si="93"/>
        <v>-5.4249547920433995E-2</v>
      </c>
      <c r="O171" s="137">
        <f>IF(ISNUMBER(M171), $B172 * N171, "")</f>
        <v>-8137.4321880650996</v>
      </c>
      <c r="Q171" s="300"/>
      <c r="R171" s="301"/>
      <c r="S171" s="302"/>
    </row>
    <row r="172" spans="1:19" ht="17.25" thickBot="1">
      <c r="A172" s="131" t="s">
        <v>301</v>
      </c>
      <c r="B172" s="308">
        <f>$B$37</f>
        <v>150000</v>
      </c>
      <c r="C172" s="309"/>
      <c r="D172" s="131" t="s">
        <v>302</v>
      </c>
      <c r="E172" s="228">
        <f>IF(COUNT(E152:E171), SUM(E152:E171) / COUNT(E152:E171), 0)</f>
        <v>8.934220447931766E-3</v>
      </c>
      <c r="F172" s="208">
        <f>SUM(F152:F171)</f>
        <v>26802.661343795306</v>
      </c>
      <c r="G172" s="131" t="s">
        <v>302</v>
      </c>
      <c r="H172" s="228">
        <f>IF(COUNT(H152:H171), SUM(H152:H171) / COUNT(H152:H171), 0)</f>
        <v>2.0309134034689487E-2</v>
      </c>
      <c r="I172" s="208">
        <f>SUM(I152:I171)</f>
        <v>60927.402104068446</v>
      </c>
      <c r="J172" s="131" t="s">
        <v>302</v>
      </c>
      <c r="K172" s="228">
        <f>IF(COUNT(K152:K171), SUM(K152:K171) / COUNT(K152:K171), 0)</f>
        <v>2.0658636119520228E-2</v>
      </c>
      <c r="L172" s="208">
        <f>SUM(L152:L171)</f>
        <v>61975.9083585607</v>
      </c>
      <c r="M172" s="131" t="s">
        <v>302</v>
      </c>
      <c r="N172" s="228">
        <f>IF(COUNT(N152:N171), SUM(N152:N171) / COUNT(N152:N171), 0)</f>
        <v>2.0503657921740592E-2</v>
      </c>
      <c r="O172" s="208">
        <f>SUM(O152:O171)</f>
        <v>61510.973765221788</v>
      </c>
      <c r="Q172" s="303"/>
      <c r="R172" s="304"/>
      <c r="S172" s="305"/>
    </row>
    <row r="174" spans="1:19" ht="17.25" thickBot="1"/>
    <row r="175" spans="1:19" ht="17.25" thickBot="1">
      <c r="A175" s="249" t="s">
        <v>285</v>
      </c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50"/>
      <c r="M175" s="250"/>
      <c r="N175" s="250"/>
      <c r="O175" s="251"/>
      <c r="Q175" s="270"/>
      <c r="R175" s="270"/>
      <c r="S175" s="270"/>
    </row>
    <row r="176" spans="1:19" ht="17.25" thickBot="1">
      <c r="A176" s="225" t="s">
        <v>298</v>
      </c>
      <c r="B176" s="249" t="s">
        <v>49</v>
      </c>
      <c r="C176" s="251"/>
      <c r="D176" s="249" t="s">
        <v>58</v>
      </c>
      <c r="E176" s="250"/>
      <c r="F176" s="251"/>
      <c r="G176" s="276">
        <f>_xlfn.IFNA(VLOOKUP(B176, 현재가테이블!$B$2:$D$200, 2, FALSE), "-")</f>
        <v>60874000</v>
      </c>
      <c r="H176" s="277"/>
      <c r="I176" s="278"/>
      <c r="J176" s="249" t="s">
        <v>59</v>
      </c>
      <c r="K176" s="250"/>
      <c r="L176" s="251"/>
      <c r="M176" s="279">
        <f>_xlfn.IFNA(VLOOKUP(B176, 현재가테이블!$B$2:$D$200, 3, FALSE), "-")</f>
        <v>-1.4936000099999999E-2</v>
      </c>
      <c r="N176" s="280"/>
      <c r="O176" s="281"/>
      <c r="Q176" s="270"/>
      <c r="R176" s="270"/>
      <c r="S176" s="270"/>
    </row>
    <row r="177" spans="1:19" ht="17.25" thickBot="1">
      <c r="A177" s="310" t="s">
        <v>55</v>
      </c>
      <c r="B177" s="312" t="str">
        <f>TEXT($G$1, "[$-ko-KR]yyyy-mm-dd(ddd) ") &amp; "오전 00:00"</f>
        <v>2021-05-14(금) 오전 00:00</v>
      </c>
      <c r="C177" s="313"/>
      <c r="D177" s="249" t="str">
        <f>TEXT($G$1, "[$-ko-KR]yyyy-mm-dd(ddd) ") &amp; "오후 14:00"</f>
        <v>2021-05-14(금) 오후 14:00</v>
      </c>
      <c r="E177" s="250"/>
      <c r="F177" s="251"/>
      <c r="G177" s="249" t="str">
        <f>TEXT($G$1, "[$-ko-KR]yyyy-mm-dd(ddd) ") &amp; "오후 19:00"</f>
        <v>2021-05-14(금) 오후 19:00</v>
      </c>
      <c r="H177" s="250"/>
      <c r="I177" s="251"/>
      <c r="J177" s="249" t="str">
        <f>TEXT($G$1, "[$-ko-KR]yyyy-mm-dd(ddd) ") &amp; "오후 21:00"</f>
        <v>2021-05-14(금) 오후 21:00</v>
      </c>
      <c r="K177" s="250"/>
      <c r="L177" s="251"/>
      <c r="M177" s="249" t="str">
        <f>TEXT($G$1+1, "[$-ko-KR]yyyy-mm-dd(ddd) ") &amp; "오전 00:00"</f>
        <v>2021-05-15(토) 오전 00:00</v>
      </c>
      <c r="N177" s="250"/>
      <c r="O177" s="251"/>
      <c r="Q177" s="270"/>
      <c r="R177" s="270"/>
      <c r="S177" s="270"/>
    </row>
    <row r="178" spans="1:19" ht="17.25" thickBot="1">
      <c r="A178" s="311"/>
      <c r="B178" s="120" t="s">
        <v>58</v>
      </c>
      <c r="C178" s="121" t="s">
        <v>59</v>
      </c>
      <c r="D178" s="120" t="s">
        <v>58</v>
      </c>
      <c r="E178" s="121" t="s">
        <v>299</v>
      </c>
      <c r="F178" s="232" t="s">
        <v>300</v>
      </c>
      <c r="G178" s="225" t="s">
        <v>58</v>
      </c>
      <c r="H178" s="226" t="s">
        <v>299</v>
      </c>
      <c r="I178" s="227" t="s">
        <v>300</v>
      </c>
      <c r="J178" s="121" t="s">
        <v>58</v>
      </c>
      <c r="K178" s="121" t="s">
        <v>299</v>
      </c>
      <c r="L178" s="230" t="s">
        <v>300</v>
      </c>
      <c r="M178" s="120" t="s">
        <v>58</v>
      </c>
      <c r="N178" s="121" t="s">
        <v>299</v>
      </c>
      <c r="O178" s="231" t="s">
        <v>300</v>
      </c>
      <c r="Q178" s="275"/>
      <c r="R178" s="275"/>
      <c r="S178" s="275"/>
    </row>
    <row r="179" spans="1:19" ht="17.25" thickBot="1">
      <c r="A179" s="122" t="s">
        <v>200</v>
      </c>
      <c r="B179" s="123">
        <v>300</v>
      </c>
      <c r="C179" s="72">
        <v>2.0408163300000001E-2</v>
      </c>
      <c r="D179" s="123">
        <v>302</v>
      </c>
      <c r="E179" s="72">
        <f>IF(ISNUMBER(D179), (D179 - $B179) / $B179, "")</f>
        <v>6.6666666666666671E-3</v>
      </c>
      <c r="F179" s="140">
        <f>IF(ISNUMBER(D179), $B199 * E179, "")</f>
        <v>1000.0000000000001</v>
      </c>
      <c r="G179" s="38">
        <v>305</v>
      </c>
      <c r="H179" s="72">
        <f>IF(ISNUMBER(G179), (G179 - $B179) / $B179, "")</f>
        <v>1.6666666666666666E-2</v>
      </c>
      <c r="I179" s="201">
        <f>IF(ISNUMBER(G179), $B199 * H179, "")</f>
        <v>2500</v>
      </c>
      <c r="J179" s="123">
        <v>305</v>
      </c>
      <c r="K179" s="72">
        <f>IF(ISNUMBER(J179), (J179 - $B179) / $B179, "")</f>
        <v>1.6666666666666666E-2</v>
      </c>
      <c r="L179" s="140">
        <f>IF(ISNUMBER(J179), $B199 * K179, "")</f>
        <v>2500</v>
      </c>
      <c r="M179" s="38">
        <v>305</v>
      </c>
      <c r="N179" s="72">
        <f>IF(ISNUMBER(M179), (M179 - $B179) / $B179, "")</f>
        <v>1.6666666666666666E-2</v>
      </c>
      <c r="O179" s="140">
        <f>IF(ISNUMBER(M179), $B199 * N179, "")</f>
        <v>2500</v>
      </c>
      <c r="Q179" s="270"/>
      <c r="R179" s="270"/>
      <c r="S179" s="270"/>
    </row>
    <row r="180" spans="1:19" ht="17.25" thickBot="1">
      <c r="A180" s="124" t="s">
        <v>156</v>
      </c>
      <c r="B180" s="125">
        <v>151</v>
      </c>
      <c r="C180" s="73">
        <v>2.02702703E-2</v>
      </c>
      <c r="D180" s="125">
        <v>153</v>
      </c>
      <c r="E180" s="73">
        <f t="shared" ref="E180:E183" si="94">IF(ISNUMBER(D180), (D180 - $B180) / $B180, "")</f>
        <v>1.3245033112582781E-2</v>
      </c>
      <c r="F180" s="136">
        <f>IF(ISNUMBER(D180), $B199 * E180, "")</f>
        <v>1986.7549668874171</v>
      </c>
      <c r="G180" s="39">
        <v>156</v>
      </c>
      <c r="H180" s="73">
        <f t="shared" ref="H180:H183" si="95">IF(ISNUMBER(G180), (G180 - $B180) / $B180, "")</f>
        <v>3.3112582781456956E-2</v>
      </c>
      <c r="I180" s="202">
        <f>IF(ISNUMBER(G180), $B199 * H180, "")</f>
        <v>4966.8874172185433</v>
      </c>
      <c r="J180" s="125">
        <v>155</v>
      </c>
      <c r="K180" s="73">
        <f t="shared" ref="K180:K183" si="96">IF(ISNUMBER(J180), (J180 - $B180) / $B180, "")</f>
        <v>2.6490066225165563E-2</v>
      </c>
      <c r="L180" s="136">
        <f>IF(ISNUMBER(J180), $B199 * K180, "")</f>
        <v>3973.5099337748343</v>
      </c>
      <c r="M180" s="39">
        <v>155</v>
      </c>
      <c r="N180" s="73">
        <f t="shared" ref="N180:N183" si="97">IF(ISNUMBER(M180), (M180 - $B180) / $B180, "")</f>
        <v>2.6490066225165563E-2</v>
      </c>
      <c r="O180" s="136">
        <f>IF(ISNUMBER(M180), $B199 * N180, "")</f>
        <v>3973.5099337748343</v>
      </c>
      <c r="Q180" s="270"/>
      <c r="R180" s="270"/>
      <c r="S180" s="270"/>
    </row>
    <row r="181" spans="1:19" ht="17.25" thickBot="1">
      <c r="A181" s="124" t="s">
        <v>94</v>
      </c>
      <c r="B181" s="125">
        <v>116500</v>
      </c>
      <c r="C181" s="73">
        <v>1.9693654299999998E-2</v>
      </c>
      <c r="D181" s="125">
        <v>117200</v>
      </c>
      <c r="E181" s="73">
        <f t="shared" si="94"/>
        <v>6.0085836909871248E-3</v>
      </c>
      <c r="F181" s="136">
        <f>IF(ISNUMBER(D181), $B199 * E181, "")</f>
        <v>901.28755364806875</v>
      </c>
      <c r="G181" s="39">
        <v>124800</v>
      </c>
      <c r="H181" s="73">
        <f t="shared" si="95"/>
        <v>7.1244635193133052E-2</v>
      </c>
      <c r="I181" s="202">
        <f>IF(ISNUMBER(G181), $B199 * H181, "")</f>
        <v>10686.695278969957</v>
      </c>
      <c r="J181" s="125">
        <v>125150</v>
      </c>
      <c r="K181" s="73">
        <f t="shared" si="96"/>
        <v>7.4248927038626608E-2</v>
      </c>
      <c r="L181" s="136">
        <f>IF(ISNUMBER(J181), $B199 * K181, "")</f>
        <v>11137.339055793991</v>
      </c>
      <c r="M181" s="39">
        <v>124950</v>
      </c>
      <c r="N181" s="73">
        <f t="shared" si="97"/>
        <v>7.2532188841201717E-2</v>
      </c>
      <c r="O181" s="136">
        <f>IF(ISNUMBER(M181), $B199 * N181, "")</f>
        <v>10879.828326180257</v>
      </c>
      <c r="Q181" s="275"/>
      <c r="R181" s="275"/>
      <c r="S181" s="275"/>
    </row>
    <row r="182" spans="1:19" ht="17.25" thickBot="1">
      <c r="A182" s="124" t="s">
        <v>228</v>
      </c>
      <c r="B182" s="125">
        <v>15.8</v>
      </c>
      <c r="C182" s="73">
        <v>1.9354838700000002E-2</v>
      </c>
      <c r="D182" s="125">
        <v>15.9</v>
      </c>
      <c r="E182" s="73">
        <f t="shared" si="94"/>
        <v>6.3291139240506103E-3</v>
      </c>
      <c r="F182" s="136">
        <f>IF(ISNUMBER(D182), $B199 * E182, "")</f>
        <v>949.36708860759154</v>
      </c>
      <c r="G182" s="39">
        <v>15.9</v>
      </c>
      <c r="H182" s="73">
        <f t="shared" si="95"/>
        <v>6.3291139240506103E-3</v>
      </c>
      <c r="I182" s="202">
        <f>IF(ISNUMBER(G182), $B199 * H182, "")</f>
        <v>949.36708860759154</v>
      </c>
      <c r="J182" s="125">
        <v>15.9</v>
      </c>
      <c r="K182" s="73">
        <f t="shared" si="96"/>
        <v>6.3291139240506103E-3</v>
      </c>
      <c r="L182" s="136">
        <f>IF(ISNUMBER(J182), $B199 * K182, "")</f>
        <v>949.36708860759154</v>
      </c>
      <c r="M182" s="39">
        <v>16</v>
      </c>
      <c r="N182" s="73">
        <f t="shared" si="97"/>
        <v>1.2658227848101221E-2</v>
      </c>
      <c r="O182" s="136">
        <f>IF(ISNUMBER(M182), $B199 * N182, "")</f>
        <v>1898.7341772151831</v>
      </c>
      <c r="Q182" s="275"/>
      <c r="R182" s="275"/>
      <c r="S182" s="275"/>
    </row>
    <row r="183" spans="1:19" ht="17.25" thickBot="1">
      <c r="A183" s="126" t="s">
        <v>280</v>
      </c>
      <c r="B183" s="127">
        <v>1505</v>
      </c>
      <c r="C183" s="74">
        <v>1.6891891900000001E-2</v>
      </c>
      <c r="D183" s="127">
        <v>1505</v>
      </c>
      <c r="E183" s="74">
        <f t="shared" si="94"/>
        <v>0</v>
      </c>
      <c r="F183" s="203">
        <f>IF(ISNUMBER(D183), $B199 * E183, "")</f>
        <v>0</v>
      </c>
      <c r="G183" s="44">
        <v>1510</v>
      </c>
      <c r="H183" s="74">
        <f t="shared" si="95"/>
        <v>3.3222591362126247E-3</v>
      </c>
      <c r="I183" s="204">
        <f>IF(ISNUMBER(G183), $B199 * H183, "")</f>
        <v>498.33887043189372</v>
      </c>
      <c r="J183" s="127">
        <v>1515</v>
      </c>
      <c r="K183" s="74">
        <f t="shared" si="96"/>
        <v>6.6445182724252493E-3</v>
      </c>
      <c r="L183" s="203">
        <f>IF(ISNUMBER(J183), $B199 * K183, "")</f>
        <v>996.67774086378745</v>
      </c>
      <c r="M183" s="44">
        <v>1520</v>
      </c>
      <c r="N183" s="74">
        <f t="shared" si="97"/>
        <v>9.9667774086378731E-3</v>
      </c>
      <c r="O183" s="203">
        <f>IF(ISNUMBER(M183), $B199 * N183, "")</f>
        <v>1495.0166112956811</v>
      </c>
      <c r="Q183" s="275"/>
      <c r="R183" s="275"/>
      <c r="S183" s="275"/>
    </row>
    <row r="184" spans="1:19" ht="17.25" thickBot="1">
      <c r="A184" s="124" t="s">
        <v>274</v>
      </c>
      <c r="B184" s="128">
        <v>7400</v>
      </c>
      <c r="C184" s="76">
        <v>1.64835165E-2</v>
      </c>
      <c r="D184" s="128">
        <v>7565</v>
      </c>
      <c r="E184" s="76">
        <f>IF(ISNUMBER(D184), (D184 - $B184) / $B184, "")</f>
        <v>2.2297297297297299E-2</v>
      </c>
      <c r="F184" s="205">
        <f>IF(ISNUMBER(D184), $B199 * E184, "")</f>
        <v>3344.5945945945946</v>
      </c>
      <c r="G184" s="45">
        <v>7580</v>
      </c>
      <c r="H184" s="76">
        <f>IF(ISNUMBER(G184), (G184 - $B184) / $B184, "")</f>
        <v>2.4324324324324326E-2</v>
      </c>
      <c r="I184" s="206">
        <f>IF(ISNUMBER(G184), $B199 * H184, "")</f>
        <v>3648.6486486486488</v>
      </c>
      <c r="J184" s="128">
        <v>7645</v>
      </c>
      <c r="K184" s="76">
        <f>IF(ISNUMBER(J184), (J184 - $B184) / $B184, "")</f>
        <v>3.310810810810811E-2</v>
      </c>
      <c r="L184" s="205">
        <f>IF(ISNUMBER(J184), $B199 * K184, "")</f>
        <v>4966.2162162162167</v>
      </c>
      <c r="M184" s="45">
        <v>7675</v>
      </c>
      <c r="N184" s="76">
        <f>IF(ISNUMBER(M184), (M184 - $B184) / $B184, "")</f>
        <v>3.7162162162162164E-2</v>
      </c>
      <c r="O184" s="205">
        <f>IF(ISNUMBER(M184), $B199 * N184, "")</f>
        <v>5574.3243243243251</v>
      </c>
      <c r="Q184" s="275"/>
      <c r="R184" s="275"/>
      <c r="S184" s="275"/>
    </row>
    <row r="185" spans="1:19" ht="17.25" thickBot="1">
      <c r="A185" s="124" t="s">
        <v>124</v>
      </c>
      <c r="B185" s="125">
        <v>5600</v>
      </c>
      <c r="C185" s="73">
        <v>1.44927536E-2</v>
      </c>
      <c r="D185" s="125">
        <v>5765</v>
      </c>
      <c r="E185" s="73">
        <f t="shared" ref="E185:E188" si="98">IF(ISNUMBER(D185), (D185 - $B185) / $B185, "")</f>
        <v>2.9464285714285714E-2</v>
      </c>
      <c r="F185" s="136">
        <f>IF(ISNUMBER(D185), $B199 * E185, "")</f>
        <v>4419.6428571428569</v>
      </c>
      <c r="G185" s="39">
        <v>5785</v>
      </c>
      <c r="H185" s="73">
        <f t="shared" ref="H185:H188" si="99">IF(ISNUMBER(G185), (G185 - $B185) / $B185, "")</f>
        <v>3.3035714285714286E-2</v>
      </c>
      <c r="I185" s="202">
        <f>IF(ISNUMBER(G185), $B199 * H185, "")</f>
        <v>4955.3571428571431</v>
      </c>
      <c r="J185" s="125">
        <v>5825</v>
      </c>
      <c r="K185" s="73">
        <f t="shared" ref="K185:K188" si="100">IF(ISNUMBER(J185), (J185 - $B185) / $B185, "")</f>
        <v>4.0178571428571432E-2</v>
      </c>
      <c r="L185" s="136">
        <f>IF(ISNUMBER(J185), $B199 * K185, "")</f>
        <v>6026.7857142857147</v>
      </c>
      <c r="M185" s="39">
        <v>5870</v>
      </c>
      <c r="N185" s="73">
        <f t="shared" ref="N185:N188" si="101">IF(ISNUMBER(M185), (M185 - $B185) / $B185, "")</f>
        <v>4.8214285714285716E-2</v>
      </c>
      <c r="O185" s="136">
        <f>IF(ISNUMBER(M185), $B199 * N185, "")</f>
        <v>7232.1428571428578</v>
      </c>
      <c r="Q185" s="275"/>
      <c r="R185" s="275"/>
      <c r="S185" s="275"/>
    </row>
    <row r="186" spans="1:19" ht="17.25" thickBot="1">
      <c r="A186" s="124" t="s">
        <v>188</v>
      </c>
      <c r="B186" s="125">
        <v>25390</v>
      </c>
      <c r="C186" s="73">
        <v>1.2764260100000001E-2</v>
      </c>
      <c r="D186" s="125">
        <v>25810</v>
      </c>
      <c r="E186" s="73">
        <f t="shared" si="98"/>
        <v>1.654194564789287E-2</v>
      </c>
      <c r="F186" s="136">
        <f>IF(ISNUMBER(D186), $B199 * E186, "")</f>
        <v>2481.2918471839307</v>
      </c>
      <c r="G186" s="39">
        <v>26280</v>
      </c>
      <c r="H186" s="73">
        <f t="shared" si="99"/>
        <v>3.5053170539582512E-2</v>
      </c>
      <c r="I186" s="202">
        <f>IF(ISNUMBER(G186), $B199 * H186, "")</f>
        <v>5257.9755809373764</v>
      </c>
      <c r="J186" s="125">
        <v>26970</v>
      </c>
      <c r="K186" s="73">
        <f t="shared" si="100"/>
        <v>6.2229224103977944E-2</v>
      </c>
      <c r="L186" s="136">
        <f>IF(ISNUMBER(J186), $B199 * K186, "")</f>
        <v>9334.383615596691</v>
      </c>
      <c r="M186" s="39">
        <v>26720</v>
      </c>
      <c r="N186" s="73">
        <f t="shared" si="101"/>
        <v>5.2382827884994092E-2</v>
      </c>
      <c r="O186" s="136">
        <f>IF(ISNUMBER(M186), $B199 * N186, "")</f>
        <v>7857.4241827491142</v>
      </c>
      <c r="Q186" s="275"/>
      <c r="R186" s="275"/>
      <c r="S186" s="275"/>
    </row>
    <row r="187" spans="1:19" ht="17.25" thickBot="1">
      <c r="A187" s="124" t="s">
        <v>248</v>
      </c>
      <c r="B187" s="125">
        <v>3105</v>
      </c>
      <c r="C187" s="73">
        <v>1.1400651499999999E-2</v>
      </c>
      <c r="D187" s="125">
        <v>3075</v>
      </c>
      <c r="E187" s="73">
        <f t="shared" si="98"/>
        <v>-9.6618357487922701E-3</v>
      </c>
      <c r="F187" s="136">
        <f>IF(ISNUMBER(D187), $B199 * E187, "")</f>
        <v>-1449.2753623188405</v>
      </c>
      <c r="G187" s="39">
        <v>3140</v>
      </c>
      <c r="H187" s="73">
        <f t="shared" si="99"/>
        <v>1.1272141706924315E-2</v>
      </c>
      <c r="I187" s="202">
        <f>IF(ISNUMBER(G187), $B199 * H187, "")</f>
        <v>1690.8212560386473</v>
      </c>
      <c r="J187" s="125">
        <v>3175</v>
      </c>
      <c r="K187" s="73">
        <f t="shared" si="100"/>
        <v>2.2544283413848631E-2</v>
      </c>
      <c r="L187" s="136">
        <f>IF(ISNUMBER(J187), $B199 * K187, "")</f>
        <v>3381.6425120772947</v>
      </c>
      <c r="M187" s="39">
        <v>3170</v>
      </c>
      <c r="N187" s="73">
        <f t="shared" si="101"/>
        <v>2.0933977455716585E-2</v>
      </c>
      <c r="O187" s="136">
        <f>IF(ISNUMBER(M187), $B199 * N187, "")</f>
        <v>3140.0966183574878</v>
      </c>
      <c r="Q187" s="33"/>
      <c r="R187" s="33"/>
    </row>
    <row r="188" spans="1:19" ht="17.25" thickBot="1">
      <c r="A188" s="129" t="s">
        <v>224</v>
      </c>
      <c r="B188" s="130">
        <v>1835</v>
      </c>
      <c r="C188" s="75">
        <v>1.10192837E-2</v>
      </c>
      <c r="D188" s="130">
        <v>1985</v>
      </c>
      <c r="E188" s="75">
        <f t="shared" si="98"/>
        <v>8.1743869209809264E-2</v>
      </c>
      <c r="F188" s="137">
        <f>IF(ISNUMBER(D188), $B199 * E188, "")</f>
        <v>12261.580381471389</v>
      </c>
      <c r="G188" s="37">
        <v>1985</v>
      </c>
      <c r="H188" s="75">
        <f t="shared" si="99"/>
        <v>8.1743869209809264E-2</v>
      </c>
      <c r="I188" s="207">
        <f>IF(ISNUMBER(G188), $B199 * H188, "")</f>
        <v>12261.580381471389</v>
      </c>
      <c r="J188" s="130">
        <v>1950</v>
      </c>
      <c r="K188" s="75">
        <f t="shared" si="100"/>
        <v>6.2670299727520432E-2</v>
      </c>
      <c r="L188" s="137">
        <f>IF(ISNUMBER(J188), $B199 * K188, "")</f>
        <v>9400.5449591280649</v>
      </c>
      <c r="M188" s="37">
        <v>1930</v>
      </c>
      <c r="N188" s="75">
        <f t="shared" si="101"/>
        <v>5.1771117166212535E-2</v>
      </c>
      <c r="O188" s="137">
        <f>IF(ISNUMBER(M188), $B199 * N188, "")</f>
        <v>7765.6675749318802</v>
      </c>
      <c r="Q188" s="284"/>
      <c r="R188" s="285"/>
      <c r="S188" s="286"/>
    </row>
    <row r="189" spans="1:19">
      <c r="A189" s="122" t="s">
        <v>49</v>
      </c>
      <c r="B189" s="123">
        <v>62867000</v>
      </c>
      <c r="C189" s="72">
        <v>9.7980949999999997E-3</v>
      </c>
      <c r="D189" s="123">
        <v>61741000</v>
      </c>
      <c r="E189" s="72">
        <f>IF(ISNUMBER(D189), (D189 - $B189) / $B189, "")</f>
        <v>-1.7910827620214103E-2</v>
      </c>
      <c r="F189" s="140">
        <f>IF(ISNUMBER(D189), $B199 * E189, "")</f>
        <v>-2686.6241430321156</v>
      </c>
      <c r="G189" s="38">
        <v>62033000</v>
      </c>
      <c r="H189" s="72">
        <f>IF(ISNUMBER(G189), (G189 - $B189) / $B189, "")</f>
        <v>-1.3266101452272257E-2</v>
      </c>
      <c r="I189" s="201">
        <f>IF(ISNUMBER(G189), $B199 * H189, "")</f>
        <v>-1989.9152178408385</v>
      </c>
      <c r="J189" s="123">
        <v>62105000</v>
      </c>
      <c r="K189" s="72">
        <f>IF(ISNUMBER(J189), (J189 - $B189) / $B189, "")</f>
        <v>-1.212082650675235E-2</v>
      </c>
      <c r="L189" s="140">
        <f>IF(ISNUMBER(J189), $B199 * K189, "")</f>
        <v>-1818.1239760128524</v>
      </c>
      <c r="M189" s="38">
        <v>62017000</v>
      </c>
      <c r="N189" s="72">
        <f>IF(ISNUMBER(M189), (M189 - $B189) / $B189, "")</f>
        <v>-1.3520606995721126E-2</v>
      </c>
      <c r="O189" s="140">
        <f>IF(ISNUMBER(M189), $B199 * N189, "")</f>
        <v>-2028.0910493581689</v>
      </c>
      <c r="Q189" s="287"/>
      <c r="R189" s="288"/>
      <c r="S189" s="289"/>
    </row>
    <row r="190" spans="1:19" ht="17.25" thickBot="1">
      <c r="A190" s="124" t="s">
        <v>164</v>
      </c>
      <c r="B190" s="125">
        <v>39660</v>
      </c>
      <c r="C190" s="73">
        <v>7.3660147000000004E-3</v>
      </c>
      <c r="D190" s="125">
        <v>39230</v>
      </c>
      <c r="E190" s="73">
        <f t="shared" ref="E190:E193" si="102">IF(ISNUMBER(D190), (D190 - $B190) / $B190, "")</f>
        <v>-1.0842158345940494E-2</v>
      </c>
      <c r="F190" s="136">
        <f>IF(ISNUMBER(D190), $B199 * E190, "")</f>
        <v>-1626.3237518910742</v>
      </c>
      <c r="G190" s="39">
        <v>40120</v>
      </c>
      <c r="H190" s="73">
        <f t="shared" ref="H190:H193" si="103">IF(ISNUMBER(G190), (G190 - $B190) / $B190, "")</f>
        <v>1.1598587997982855E-2</v>
      </c>
      <c r="I190" s="202">
        <f>IF(ISNUMBER(G190), $B199 * H190, "")</f>
        <v>1739.7881996974281</v>
      </c>
      <c r="J190" s="125">
        <v>40510</v>
      </c>
      <c r="K190" s="73">
        <f t="shared" ref="K190:K193" si="104">IF(ISNUMBER(J190), (J190 - $B190) / $B190, "")</f>
        <v>2.1432173474533536E-2</v>
      </c>
      <c r="L190" s="136">
        <f>IF(ISNUMBER(J190), $B199 * K190, "")</f>
        <v>3214.8260211800302</v>
      </c>
      <c r="M190" s="39">
        <v>40770</v>
      </c>
      <c r="N190" s="73">
        <f t="shared" ref="N190:N193" si="105">IF(ISNUMBER(M190), (M190 - $B190) / $B190, "")</f>
        <v>2.7987897125567322E-2</v>
      </c>
      <c r="O190" s="136">
        <f>IF(ISNUMBER(M190), $B199 * N190, "")</f>
        <v>4198.1845688350986</v>
      </c>
      <c r="Q190" s="290"/>
      <c r="R190" s="291"/>
      <c r="S190" s="292"/>
    </row>
    <row r="191" spans="1:19" ht="17.25" thickBot="1">
      <c r="A191" s="124" t="s">
        <v>96</v>
      </c>
      <c r="B191" s="125">
        <v>4781000</v>
      </c>
      <c r="C191" s="73">
        <v>7.1624184000000004E-3</v>
      </c>
      <c r="D191" s="125">
        <v>4791000</v>
      </c>
      <c r="E191" s="73">
        <f t="shared" si="102"/>
        <v>2.0916126333403052E-3</v>
      </c>
      <c r="F191" s="136">
        <f>IF(ISNUMBER(D191), $B199 * E191, "")</f>
        <v>313.7418950010458</v>
      </c>
      <c r="G191" s="39">
        <v>4848000</v>
      </c>
      <c r="H191" s="73">
        <f t="shared" si="103"/>
        <v>1.4013804643380047E-2</v>
      </c>
      <c r="I191" s="202">
        <f>IF(ISNUMBER(G191), $B199 * H191, "")</f>
        <v>2102.0706965070071</v>
      </c>
      <c r="J191" s="125">
        <v>4925000</v>
      </c>
      <c r="K191" s="73">
        <f t="shared" si="104"/>
        <v>3.0119221920100397E-2</v>
      </c>
      <c r="L191" s="136">
        <f>IF(ISNUMBER(J191), $B199 * K191, "")</f>
        <v>4517.8832880150594</v>
      </c>
      <c r="M191" s="39">
        <v>4977000</v>
      </c>
      <c r="N191" s="73">
        <f t="shared" si="105"/>
        <v>4.0995607613469986E-2</v>
      </c>
      <c r="O191" s="136">
        <f>IF(ISNUMBER(M191), $B199 * N191, "")</f>
        <v>6149.3411420204984</v>
      </c>
      <c r="Q191" s="275"/>
      <c r="R191" s="275"/>
      <c r="S191" s="275"/>
    </row>
    <row r="192" spans="1:19" ht="17.25" thickBot="1">
      <c r="A192" s="124" t="s">
        <v>242</v>
      </c>
      <c r="B192" s="125">
        <v>8720</v>
      </c>
      <c r="C192" s="73">
        <v>6.9284065000000004E-3</v>
      </c>
      <c r="D192" s="125">
        <v>8640</v>
      </c>
      <c r="E192" s="73">
        <f t="shared" si="102"/>
        <v>-9.1743119266055051E-3</v>
      </c>
      <c r="F192" s="136">
        <f>IF(ISNUMBER(D192), $B199 * E192, "")</f>
        <v>-1376.1467889908258</v>
      </c>
      <c r="G192" s="39">
        <v>8780</v>
      </c>
      <c r="H192" s="73">
        <f t="shared" si="103"/>
        <v>6.8807339449541288E-3</v>
      </c>
      <c r="I192" s="202">
        <f>IF(ISNUMBER(G192), $B199 * H192, "")</f>
        <v>1032.1100917431193</v>
      </c>
      <c r="J192" s="125">
        <v>8925</v>
      </c>
      <c r="K192" s="73">
        <f t="shared" si="104"/>
        <v>2.3509174311926607E-2</v>
      </c>
      <c r="L192" s="136">
        <f>IF(ISNUMBER(J192), $B199 * K192, "")</f>
        <v>3526.3761467889908</v>
      </c>
      <c r="M192" s="39">
        <v>9115</v>
      </c>
      <c r="N192" s="73">
        <f t="shared" si="105"/>
        <v>4.5298165137614678E-2</v>
      </c>
      <c r="O192" s="136">
        <f>IF(ISNUMBER(M192), $B199 * N192, "")</f>
        <v>6794.7247706422013</v>
      </c>
      <c r="Q192" s="270"/>
      <c r="R192" s="270"/>
      <c r="S192" s="270"/>
    </row>
    <row r="193" spans="1:19" ht="17.25" thickBot="1">
      <c r="A193" s="126" t="s">
        <v>276</v>
      </c>
      <c r="B193" s="127">
        <v>4320</v>
      </c>
      <c r="C193" s="74">
        <v>4.6511627999999998E-3</v>
      </c>
      <c r="D193" s="127">
        <v>4270</v>
      </c>
      <c r="E193" s="74">
        <f t="shared" si="102"/>
        <v>-1.1574074074074073E-2</v>
      </c>
      <c r="F193" s="203">
        <f>IF(ISNUMBER(D193), $B199 * E193, "")</f>
        <v>-1736.1111111111111</v>
      </c>
      <c r="G193" s="44">
        <v>4330</v>
      </c>
      <c r="H193" s="74">
        <f t="shared" si="103"/>
        <v>2.3148148148148147E-3</v>
      </c>
      <c r="I193" s="204">
        <f>IF(ISNUMBER(G193), $B199 * H193, "")</f>
        <v>347.22222222222223</v>
      </c>
      <c r="J193" s="127">
        <v>4370</v>
      </c>
      <c r="K193" s="74">
        <f t="shared" si="104"/>
        <v>1.1574074074074073E-2</v>
      </c>
      <c r="L193" s="203">
        <f>IF(ISNUMBER(J193), $B199 * K193, "")</f>
        <v>1736.1111111111111</v>
      </c>
      <c r="M193" s="44">
        <v>4365</v>
      </c>
      <c r="N193" s="74">
        <f t="shared" si="105"/>
        <v>1.0416666666666666E-2</v>
      </c>
      <c r="O193" s="203">
        <f>IF(ISNUMBER(M193), $B199 * N193, "")</f>
        <v>1562.5</v>
      </c>
      <c r="Q193" s="270"/>
      <c r="R193" s="270"/>
      <c r="S193" s="270"/>
    </row>
    <row r="194" spans="1:19" ht="17.25" thickBot="1">
      <c r="A194" s="124" t="s">
        <v>86</v>
      </c>
      <c r="B194" s="128">
        <v>13250</v>
      </c>
      <c r="C194" s="76">
        <v>7.5528699999999999E-4</v>
      </c>
      <c r="D194" s="128">
        <v>13610</v>
      </c>
      <c r="E194" s="76">
        <f>IF(ISNUMBER(D194), (D194 - $B194) / $B194, "")</f>
        <v>2.7169811320754716E-2</v>
      </c>
      <c r="F194" s="205">
        <f>IF(ISNUMBER(D194), $B199 * E194, "")</f>
        <v>4075.4716981132074</v>
      </c>
      <c r="G194" s="45">
        <v>13580</v>
      </c>
      <c r="H194" s="76">
        <f>IF(ISNUMBER(G194), (G194 - $B194) / $B194, "")</f>
        <v>2.4905660377358491E-2</v>
      </c>
      <c r="I194" s="206">
        <f>IF(ISNUMBER(G194), $B199 * H194, "")</f>
        <v>3735.8490566037735</v>
      </c>
      <c r="J194" s="128">
        <v>13780</v>
      </c>
      <c r="K194" s="76">
        <f>IF(ISNUMBER(J194), (J194 - $B194) / $B194, "")</f>
        <v>0.04</v>
      </c>
      <c r="L194" s="205">
        <f>IF(ISNUMBER(J194), $B199 * K194, "")</f>
        <v>6000</v>
      </c>
      <c r="M194" s="45">
        <v>13770</v>
      </c>
      <c r="N194" s="76">
        <f>IF(ISNUMBER(M194), (M194 - $B194) / $B194, "")</f>
        <v>3.9245283018867927E-2</v>
      </c>
      <c r="O194" s="205">
        <f>IF(ISNUMBER(M194), $B199 * N194, "")</f>
        <v>5886.7924528301892</v>
      </c>
      <c r="Q194" s="275"/>
      <c r="R194" s="275"/>
      <c r="S194" s="275"/>
    </row>
    <row r="195" spans="1:19" ht="17.25" thickBot="1">
      <c r="A195" s="124" t="s">
        <v>236</v>
      </c>
      <c r="B195" s="125">
        <v>72.2</v>
      </c>
      <c r="C195" s="73">
        <v>-2.82637954E-2</v>
      </c>
      <c r="D195" s="125">
        <v>69</v>
      </c>
      <c r="E195" s="73">
        <f t="shared" ref="E195:E198" si="106">IF(ISNUMBER(D195), (D195 - $B195) / $B195, "")</f>
        <v>-4.4321329639889231E-2</v>
      </c>
      <c r="F195" s="136">
        <f>IF(ISNUMBER(D195), $B199 * E195, "")</f>
        <v>-6648.199445983385</v>
      </c>
      <c r="G195" s="39">
        <v>68.900000000000006</v>
      </c>
      <c r="H195" s="73">
        <f t="shared" ref="H195:H198" si="107">IF(ISNUMBER(G195), (G195 - $B195) / $B195, "")</f>
        <v>-4.5706371191135693E-2</v>
      </c>
      <c r="I195" s="202">
        <f>IF(ISNUMBER(G195), $B199 * H195, "")</f>
        <v>-6855.9556786703542</v>
      </c>
      <c r="J195" s="125">
        <v>69.099999999999994</v>
      </c>
      <c r="K195" s="73">
        <f t="shared" ref="K195:K198" si="108">IF(ISNUMBER(J195), (J195 - $B195) / $B195, "")</f>
        <v>-4.2936288088642777E-2</v>
      </c>
      <c r="L195" s="136">
        <f>IF(ISNUMBER(J195), $B199 * K195, "")</f>
        <v>-6440.4432132964166</v>
      </c>
      <c r="M195" s="39">
        <v>69.099999999999994</v>
      </c>
      <c r="N195" s="73">
        <f t="shared" ref="N195:N198" si="109">IF(ISNUMBER(M195), (M195 - $B195) / $B195, "")</f>
        <v>-4.2936288088642777E-2</v>
      </c>
      <c r="O195" s="136">
        <f>IF(ISNUMBER(M195), $B199 * N195, "")</f>
        <v>-6440.4432132964166</v>
      </c>
      <c r="Q195" s="275"/>
      <c r="R195" s="275"/>
      <c r="S195" s="275"/>
    </row>
    <row r="196" spans="1:19" ht="17.25" thickBot="1">
      <c r="A196" s="124" t="s">
        <v>208</v>
      </c>
      <c r="B196" s="125">
        <v>448</v>
      </c>
      <c r="C196" s="73">
        <v>-6.2761506300000006E-2</v>
      </c>
      <c r="D196" s="125">
        <v>445</v>
      </c>
      <c r="E196" s="73">
        <f t="shared" si="106"/>
        <v>-6.6964285714285711E-3</v>
      </c>
      <c r="F196" s="136">
        <f>IF(ISNUMBER(D196), $B199 * E196, "")</f>
        <v>-1004.4642857142857</v>
      </c>
      <c r="G196" s="39">
        <v>446</v>
      </c>
      <c r="H196" s="73">
        <f t="shared" si="107"/>
        <v>-4.464285714285714E-3</v>
      </c>
      <c r="I196" s="202">
        <f>IF(ISNUMBER(G196), $B199 * H196, "")</f>
        <v>-669.64285714285711</v>
      </c>
      <c r="J196" s="125">
        <v>449</v>
      </c>
      <c r="K196" s="73">
        <f t="shared" si="108"/>
        <v>2.232142857142857E-3</v>
      </c>
      <c r="L196" s="136">
        <f>IF(ISNUMBER(J196), $B199 * K196, "")</f>
        <v>334.82142857142856</v>
      </c>
      <c r="M196" s="39">
        <v>450</v>
      </c>
      <c r="N196" s="73">
        <f t="shared" si="109"/>
        <v>4.464285714285714E-3</v>
      </c>
      <c r="O196" s="136">
        <f>IF(ISNUMBER(M196), $B199 * N196, "")</f>
        <v>669.64285714285711</v>
      </c>
      <c r="Q196" s="275"/>
      <c r="R196" s="275"/>
      <c r="S196" s="275"/>
    </row>
    <row r="197" spans="1:19">
      <c r="A197" s="124" t="s">
        <v>172</v>
      </c>
      <c r="B197" s="125">
        <v>23.8</v>
      </c>
      <c r="C197" s="73">
        <v>-8.4615384599999996E-2</v>
      </c>
      <c r="D197" s="125">
        <v>23</v>
      </c>
      <c r="E197" s="73">
        <f t="shared" si="106"/>
        <v>-3.3613445378151287E-2</v>
      </c>
      <c r="F197" s="136">
        <f>IF(ISNUMBER(D197), $B199 * E197, "")</f>
        <v>-5042.0168067226932</v>
      </c>
      <c r="G197" s="39">
        <v>23.1</v>
      </c>
      <c r="H197" s="73">
        <f t="shared" si="107"/>
        <v>-2.9411764705882321E-2</v>
      </c>
      <c r="I197" s="202">
        <f>IF(ISNUMBER(G197), $B199 * H197, "")</f>
        <v>-4411.7647058823486</v>
      </c>
      <c r="J197" s="125">
        <v>23.1</v>
      </c>
      <c r="K197" s="73">
        <f t="shared" si="108"/>
        <v>-2.9411764705882321E-2</v>
      </c>
      <c r="L197" s="136">
        <f>IF(ISNUMBER(J197), $B199 * K197, "")</f>
        <v>-4411.7647058823486</v>
      </c>
      <c r="M197" s="39">
        <v>23</v>
      </c>
      <c r="N197" s="73">
        <f t="shared" si="109"/>
        <v>-3.3613445378151287E-2</v>
      </c>
      <c r="O197" s="136">
        <f>IF(ISNUMBER(M197), $B199 * N197, "")</f>
        <v>-5042.0168067226932</v>
      </c>
      <c r="Q197" s="297"/>
      <c r="R197" s="298"/>
      <c r="S197" s="299"/>
    </row>
    <row r="198" spans="1:19" ht="17.25" thickBot="1">
      <c r="A198" s="129" t="s">
        <v>182</v>
      </c>
      <c r="B198" s="130">
        <v>553</v>
      </c>
      <c r="C198" s="75">
        <v>-0.1439628483</v>
      </c>
      <c r="D198" s="130">
        <v>521</v>
      </c>
      <c r="E198" s="75">
        <f t="shared" si="106"/>
        <v>-5.7866184448462928E-2</v>
      </c>
      <c r="F198" s="137">
        <f>IF(ISNUMBER(D198), $B199 * E198, "")</f>
        <v>-8679.9276672694396</v>
      </c>
      <c r="G198" s="37">
        <v>522</v>
      </c>
      <c r="H198" s="75">
        <f t="shared" si="107"/>
        <v>-5.6057866184448461E-2</v>
      </c>
      <c r="I198" s="207">
        <f>IF(ISNUMBER(G198), $B199 * H198, "")</f>
        <v>-8408.67992766727</v>
      </c>
      <c r="J198" s="130">
        <v>523</v>
      </c>
      <c r="K198" s="75">
        <f t="shared" si="108"/>
        <v>-5.4249547920433995E-2</v>
      </c>
      <c r="L198" s="137">
        <f>IF(ISNUMBER(J198), $B199 * K198, "")</f>
        <v>-8137.4321880650996</v>
      </c>
      <c r="M198" s="37">
        <v>523</v>
      </c>
      <c r="N198" s="75">
        <f t="shared" si="109"/>
        <v>-5.4249547920433995E-2</v>
      </c>
      <c r="O198" s="137">
        <f>IF(ISNUMBER(M198), $B199 * N198, "")</f>
        <v>-8137.4321880650996</v>
      </c>
      <c r="Q198" s="300"/>
      <c r="R198" s="301"/>
      <c r="S198" s="302"/>
    </row>
    <row r="199" spans="1:19" ht="17.25" thickBot="1">
      <c r="A199" s="131" t="s">
        <v>301</v>
      </c>
      <c r="B199" s="308">
        <f>$B$37</f>
        <v>150000</v>
      </c>
      <c r="C199" s="309"/>
      <c r="D199" s="131" t="s">
        <v>302</v>
      </c>
      <c r="E199" s="228">
        <f>IF(COUNT(E179:E198), SUM(E179:E198) / COUNT(E179:E198), 0)</f>
        <v>4.9488117320544529E-4</v>
      </c>
      <c r="F199" s="208">
        <f>SUM(F179:F198)</f>
        <v>1484.6435196163311</v>
      </c>
      <c r="G199" s="131" t="s">
        <v>302</v>
      </c>
      <c r="H199" s="228">
        <f>IF(COUNT(H179:H198), SUM(H179:H198) / COUNT(H179:H198), 0)</f>
        <v>1.1345584514917026E-2</v>
      </c>
      <c r="I199" s="208">
        <f>SUM(I179:I198)</f>
        <v>34036.75354475106</v>
      </c>
      <c r="J199" s="131" t="s">
        <v>302</v>
      </c>
      <c r="K199" s="228">
        <f>IF(COUNT(K179:K198), SUM(K179:K198) / COUNT(K179:K198), 0)</f>
        <v>1.7062906916251362E-2</v>
      </c>
      <c r="L199" s="208">
        <f>SUM(L179:L198)</f>
        <v>51188.720748754095</v>
      </c>
      <c r="M199" s="131" t="s">
        <v>302</v>
      </c>
      <c r="N199" s="228">
        <f>IF(COUNT(N179:N198), SUM(N179:N198) / COUNT(N179:N198), 0)</f>
        <v>1.8643315713333362E-2</v>
      </c>
      <c r="O199" s="208">
        <f>SUM(O179:O198)</f>
        <v>55929.947140000091</v>
      </c>
      <c r="Q199" s="303"/>
      <c r="R199" s="304"/>
      <c r="S199" s="30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35" priority="157">
      <formula>AND($N17 &gt; 0, ISNUMBER($N17))</formula>
    </cfRule>
    <cfRule type="expression" dxfId="534" priority="158">
      <formula>AND($N17 = 0 * ISNUMBER($N17))</formula>
    </cfRule>
    <cfRule type="expression" dxfId="533" priority="159">
      <formula>AND($N17 &lt; 0, ISNUMBER($N17))</formula>
    </cfRule>
  </conditionalFormatting>
  <conditionalFormatting sqref="A17:F36">
    <cfRule type="expression" dxfId="532" priority="166">
      <formula>AND($E17 &gt; 0, ISNUMBER($E17))</formula>
    </cfRule>
    <cfRule type="expression" dxfId="531" priority="167">
      <formula>AND($E17 = 0 * ISNUMBER($E17))</formula>
    </cfRule>
    <cfRule type="expression" dxfId="530" priority="168">
      <formula>AND($E17 &lt; 0, ISNUMBER($E17))</formula>
    </cfRule>
  </conditionalFormatting>
  <conditionalFormatting sqref="A17:C36 G17:I36">
    <cfRule type="expression" dxfId="529" priority="163">
      <formula>AND($H17 &gt; 0, ISNUMBER($H17))</formula>
    </cfRule>
    <cfRule type="expression" dxfId="528" priority="164">
      <formula>AND($H17 = 0 * ISNUMBER($H17))</formula>
    </cfRule>
    <cfRule type="expression" dxfId="527" priority="165">
      <formula>AND($H17 &lt; 0, ISNUMBER($H17))</formula>
    </cfRule>
  </conditionalFormatting>
  <conditionalFormatting sqref="A17:C36 J17:L36">
    <cfRule type="expression" dxfId="526" priority="160">
      <formula>AND($K17 &gt; 0, ISNUMBER($K17))</formula>
    </cfRule>
    <cfRule type="expression" dxfId="525" priority="161">
      <formula>AND($K17 = 0 * ISNUMBER($K17))</formula>
    </cfRule>
    <cfRule type="expression" dxfId="524" priority="162">
      <formula>AND($K17 &lt; 0, ISNUMBER($K17))</formula>
    </cfRule>
  </conditionalFormatting>
  <conditionalFormatting sqref="D15:F16 E37:F37">
    <cfRule type="expression" dxfId="523" priority="154">
      <formula>$E$37 &gt; 0</formula>
    </cfRule>
    <cfRule type="expression" dxfId="522" priority="155">
      <formula>$E$37 = 0</formula>
    </cfRule>
    <cfRule type="expression" dxfId="521" priority="156">
      <formula>$E$37 &lt; 0</formula>
    </cfRule>
  </conditionalFormatting>
  <conditionalFormatting sqref="G15:I16 H37:I37">
    <cfRule type="expression" dxfId="520" priority="151">
      <formula>$H$37 &gt; 0</formula>
    </cfRule>
    <cfRule type="expression" dxfId="519" priority="152">
      <formula>$H$37 = 0</formula>
    </cfRule>
    <cfRule type="expression" dxfId="518" priority="153">
      <formula>$H$37 &lt; 0</formula>
    </cfRule>
  </conditionalFormatting>
  <conditionalFormatting sqref="J15:L16 K37:L37">
    <cfRule type="expression" dxfId="517" priority="148">
      <formula>$K$37 &gt; 0</formula>
    </cfRule>
    <cfRule type="expression" dxfId="516" priority="149">
      <formula>$K$37 = 0</formula>
    </cfRule>
    <cfRule type="expression" dxfId="515" priority="150">
      <formula>$K$37 &lt; 0</formula>
    </cfRule>
  </conditionalFormatting>
  <conditionalFormatting sqref="M15:O16 N37:O37">
    <cfRule type="expression" dxfId="514" priority="145">
      <formula>$N$37 &gt; 0</formula>
    </cfRule>
    <cfRule type="expression" dxfId="513" priority="146">
      <formula>$N$37 = 0</formula>
    </cfRule>
    <cfRule type="expression" dxfId="512" priority="147">
      <formula>$N$37 &lt; 0</formula>
    </cfRule>
  </conditionalFormatting>
  <conditionalFormatting sqref="A44:C63 M44:O63">
    <cfRule type="expression" dxfId="511" priority="133">
      <formula>AND($N44 &gt; 0, ISNUMBER($N44))</formula>
    </cfRule>
    <cfRule type="expression" dxfId="510" priority="134">
      <formula>AND($N44 = 0 * ISNUMBER($N44))</formula>
    </cfRule>
    <cfRule type="expression" dxfId="509" priority="135">
      <formula>AND($N44 &lt; 0, ISNUMBER($N44))</formula>
    </cfRule>
  </conditionalFormatting>
  <conditionalFormatting sqref="A44:F63">
    <cfRule type="expression" dxfId="508" priority="142">
      <formula>AND($E44 &gt; 0, ISNUMBER($E44))</formula>
    </cfRule>
    <cfRule type="expression" dxfId="507" priority="143">
      <formula>AND($E44 = 0 * ISNUMBER($E44))</formula>
    </cfRule>
    <cfRule type="expression" dxfId="506" priority="144">
      <formula>AND($E44 &lt; 0, ISNUMBER($E44))</formula>
    </cfRule>
  </conditionalFormatting>
  <conditionalFormatting sqref="A44:C63 G44:I63">
    <cfRule type="expression" dxfId="505" priority="139">
      <formula>AND($H44 &gt; 0, ISNUMBER($H44))</formula>
    </cfRule>
    <cfRule type="expression" dxfId="504" priority="140">
      <formula>AND($H44 = 0 * ISNUMBER($H44))</formula>
    </cfRule>
    <cfRule type="expression" dxfId="503" priority="141">
      <formula>AND($H44 &lt; 0, ISNUMBER($H44))</formula>
    </cfRule>
  </conditionalFormatting>
  <conditionalFormatting sqref="A44:C63 J44:L63">
    <cfRule type="expression" dxfId="502" priority="136">
      <formula>AND($K44 &gt; 0, ISNUMBER($K44))</formula>
    </cfRule>
    <cfRule type="expression" dxfId="501" priority="137">
      <formula>AND($K44 = 0 * ISNUMBER($K44))</formula>
    </cfRule>
    <cfRule type="expression" dxfId="500" priority="138">
      <formula>AND($K44 &lt; 0, ISNUMBER($K44))</formula>
    </cfRule>
  </conditionalFormatting>
  <conditionalFormatting sqref="D42:F43 E64:F64">
    <cfRule type="expression" dxfId="499" priority="130">
      <formula>$E$64 &gt; 0</formula>
    </cfRule>
    <cfRule type="expression" dxfId="498" priority="131">
      <formula>$E$64 = 0</formula>
    </cfRule>
    <cfRule type="expression" dxfId="497" priority="132">
      <formula>$E$64 &lt; 0</formula>
    </cfRule>
  </conditionalFormatting>
  <conditionalFormatting sqref="G42:I43 H64:I64">
    <cfRule type="expression" dxfId="496" priority="127">
      <formula>$H$64 &gt; 0</formula>
    </cfRule>
    <cfRule type="expression" dxfId="495" priority="128">
      <formula>$H$64 = 0</formula>
    </cfRule>
    <cfRule type="expression" dxfId="494" priority="129">
      <formula>$H$64 &lt; 0</formula>
    </cfRule>
  </conditionalFormatting>
  <conditionalFormatting sqref="J42:L43 K64:L64">
    <cfRule type="expression" dxfId="493" priority="124">
      <formula>$K$64 &gt; 0</formula>
    </cfRule>
    <cfRule type="expression" dxfId="492" priority="125">
      <formula>$K$64 = 0</formula>
    </cfRule>
    <cfRule type="expression" dxfId="491" priority="126">
      <formula>$K$64 &lt; 0</formula>
    </cfRule>
  </conditionalFormatting>
  <conditionalFormatting sqref="M42:O43 N64:O64">
    <cfRule type="expression" dxfId="490" priority="121">
      <formula>$N$64 &gt; 0</formula>
    </cfRule>
    <cfRule type="expression" dxfId="489" priority="122">
      <formula>$N$64 = 0</formula>
    </cfRule>
    <cfRule type="expression" dxfId="488" priority="123">
      <formula>$N$64 &lt; 0</formula>
    </cfRule>
  </conditionalFormatting>
  <conditionalFormatting sqref="A71:C90 M71:O90">
    <cfRule type="expression" dxfId="487" priority="109">
      <formula>AND($N71 &gt; 0, ISNUMBER($N71))</formula>
    </cfRule>
    <cfRule type="expression" dxfId="486" priority="110">
      <formula>AND($N71 = 0 * ISNUMBER($N71))</formula>
    </cfRule>
    <cfRule type="expression" dxfId="485" priority="111">
      <formula>AND($N71 &lt; 0, ISNUMBER($N71))</formula>
    </cfRule>
  </conditionalFormatting>
  <conditionalFormatting sqref="A71:F90">
    <cfRule type="expression" dxfId="484" priority="118">
      <formula>AND($E71 &gt; 0, ISNUMBER($E71))</formula>
    </cfRule>
    <cfRule type="expression" dxfId="483" priority="119">
      <formula>AND($E71 = 0 * ISNUMBER($E71))</formula>
    </cfRule>
    <cfRule type="expression" dxfId="482" priority="120">
      <formula>AND($E71 &lt; 0, ISNUMBER($E71))</formula>
    </cfRule>
  </conditionalFormatting>
  <conditionalFormatting sqref="A71:C90 G71:I90">
    <cfRule type="expression" dxfId="481" priority="115">
      <formula>AND($H71 &gt; 0, ISNUMBER($H71))</formula>
    </cfRule>
    <cfRule type="expression" dxfId="480" priority="116">
      <formula>AND($H71 = 0 * ISNUMBER($H71))</formula>
    </cfRule>
    <cfRule type="expression" dxfId="479" priority="117">
      <formula>AND($H71 &lt; 0, ISNUMBER($H71))</formula>
    </cfRule>
  </conditionalFormatting>
  <conditionalFormatting sqref="A71:C90 J71:L90">
    <cfRule type="expression" dxfId="478" priority="112">
      <formula>AND($K71 &gt; 0, ISNUMBER($K71))</formula>
    </cfRule>
    <cfRule type="expression" dxfId="477" priority="113">
      <formula>AND($K71 = 0 * ISNUMBER($K71))</formula>
    </cfRule>
    <cfRule type="expression" dxfId="476" priority="114">
      <formula>AND($K71 &lt; 0, ISNUMBER($K71))</formula>
    </cfRule>
  </conditionalFormatting>
  <conditionalFormatting sqref="D69:F70 E91:F91">
    <cfRule type="expression" dxfId="475" priority="106">
      <formula>$E$91 &gt; 0</formula>
    </cfRule>
    <cfRule type="expression" dxfId="474" priority="107">
      <formula>$E$91 = 0</formula>
    </cfRule>
    <cfRule type="expression" dxfId="473" priority="108">
      <formula>$E$91 &lt; 0</formula>
    </cfRule>
  </conditionalFormatting>
  <conditionalFormatting sqref="G69:I70 H91:I91">
    <cfRule type="expression" dxfId="472" priority="103">
      <formula>$H$91 &gt; 0</formula>
    </cfRule>
    <cfRule type="expression" dxfId="471" priority="104">
      <formula>$H$91 = 0</formula>
    </cfRule>
    <cfRule type="expression" dxfId="470" priority="105">
      <formula>$H$91 &lt; 0</formula>
    </cfRule>
  </conditionalFormatting>
  <conditionalFormatting sqref="J69:L70 K91:L91">
    <cfRule type="expression" dxfId="469" priority="100">
      <formula>$K$91 &gt; 0</formula>
    </cfRule>
    <cfRule type="expression" dxfId="468" priority="101">
      <formula>$K$91 = 0</formula>
    </cfRule>
    <cfRule type="expression" dxfId="467" priority="102">
      <formula>$K$91 &lt; 0</formula>
    </cfRule>
  </conditionalFormatting>
  <conditionalFormatting sqref="M69:O70 N91:O91">
    <cfRule type="expression" dxfId="466" priority="97">
      <formula>$N$91 &gt; 0</formula>
    </cfRule>
    <cfRule type="expression" dxfId="465" priority="98">
      <formula>$N$91 = 0</formula>
    </cfRule>
    <cfRule type="expression" dxfId="464" priority="99">
      <formula>$N$91 &lt; 0</formula>
    </cfRule>
  </conditionalFormatting>
  <conditionalFormatting sqref="A98:C117 M98:O117">
    <cfRule type="expression" dxfId="463" priority="85">
      <formula>AND($N98 &gt; 0, ISNUMBER($N98))</formula>
    </cfRule>
    <cfRule type="expression" dxfId="462" priority="86">
      <formula>AND($N98 = 0 * ISNUMBER($N98))</formula>
    </cfRule>
    <cfRule type="expression" dxfId="461" priority="87">
      <formula>AND($N98 &lt; 0, ISNUMBER($N98))</formula>
    </cfRule>
  </conditionalFormatting>
  <conditionalFormatting sqref="A98:F117">
    <cfRule type="expression" dxfId="460" priority="94">
      <formula>AND($E98 &gt; 0, ISNUMBER($E98))</formula>
    </cfRule>
    <cfRule type="expression" dxfId="459" priority="95">
      <formula>AND($E98 = 0 * ISNUMBER($E98))</formula>
    </cfRule>
    <cfRule type="expression" dxfId="458" priority="96">
      <formula>AND($E98 &lt; 0, ISNUMBER($E98))</formula>
    </cfRule>
  </conditionalFormatting>
  <conditionalFormatting sqref="A98:C117 G98:I117">
    <cfRule type="expression" dxfId="457" priority="91">
      <formula>AND($H98 &gt; 0, ISNUMBER($H98))</formula>
    </cfRule>
    <cfRule type="expression" dxfId="456" priority="92">
      <formula>AND($H98 = 0 * ISNUMBER($H98))</formula>
    </cfRule>
    <cfRule type="expression" dxfId="455" priority="93">
      <formula>AND($H98 &lt; 0, ISNUMBER($H98))</formula>
    </cfRule>
  </conditionalFormatting>
  <conditionalFormatting sqref="A98:C117 J98:L117">
    <cfRule type="expression" dxfId="454" priority="88">
      <formula>AND($K98 &gt; 0, ISNUMBER($K98))</formula>
    </cfRule>
    <cfRule type="expression" dxfId="453" priority="89">
      <formula>AND($K98 = 0 * ISNUMBER($K98))</formula>
    </cfRule>
    <cfRule type="expression" dxfId="452" priority="90">
      <formula>AND($K98 &lt; 0, ISNUMBER($K98))</formula>
    </cfRule>
  </conditionalFormatting>
  <conditionalFormatting sqref="D96:F97 E118:F118">
    <cfRule type="expression" dxfId="451" priority="82">
      <formula>$E$118 &gt; 0</formula>
    </cfRule>
    <cfRule type="expression" dxfId="450" priority="83">
      <formula>$E$118 = 0</formula>
    </cfRule>
    <cfRule type="expression" dxfId="449" priority="84">
      <formula>$E$118 &lt; 0</formula>
    </cfRule>
  </conditionalFormatting>
  <conditionalFormatting sqref="G96:I97 H118:I118">
    <cfRule type="expression" dxfId="448" priority="79">
      <formula>$H$118 &gt; 0</formula>
    </cfRule>
    <cfRule type="expression" dxfId="447" priority="80">
      <formula>$H$118 = 0</formula>
    </cfRule>
    <cfRule type="expression" dxfId="446" priority="81">
      <formula>$H$118 &lt; 0</formula>
    </cfRule>
  </conditionalFormatting>
  <conditionalFormatting sqref="J96:L97 K118:L118">
    <cfRule type="expression" dxfId="445" priority="76">
      <formula>$K$118 &gt; 0</formula>
    </cfRule>
    <cfRule type="expression" dxfId="444" priority="77">
      <formula>$K$118 = 0</formula>
    </cfRule>
    <cfRule type="expression" dxfId="443" priority="78">
      <formula>$K$118 &lt; 0</formula>
    </cfRule>
  </conditionalFormatting>
  <conditionalFormatting sqref="M96:O97 N118:O118">
    <cfRule type="expression" dxfId="442" priority="73">
      <formula>$N$118 &gt; 0</formula>
    </cfRule>
    <cfRule type="expression" dxfId="441" priority="74">
      <formula>$N$118 = 0</formula>
    </cfRule>
    <cfRule type="expression" dxfId="440" priority="75">
      <formula>$N$118 &lt; 0</formula>
    </cfRule>
  </conditionalFormatting>
  <conditionalFormatting sqref="A125:C144 M125:O144">
    <cfRule type="expression" dxfId="439" priority="61">
      <formula>AND($N125 &gt; 0, ISNUMBER($N125))</formula>
    </cfRule>
    <cfRule type="expression" dxfId="438" priority="62">
      <formula>AND($N125 = 0 * ISNUMBER($N125))</formula>
    </cfRule>
    <cfRule type="expression" dxfId="437" priority="63">
      <formula>AND($N125 &lt; 0, ISNUMBER($N125))</formula>
    </cfRule>
  </conditionalFormatting>
  <conditionalFormatting sqref="A125:F144">
    <cfRule type="expression" dxfId="436" priority="70">
      <formula>AND($E125 &gt; 0, ISNUMBER($E125))</formula>
    </cfRule>
    <cfRule type="expression" dxfId="435" priority="71">
      <formula>AND($E125 = 0 * ISNUMBER($E125))</formula>
    </cfRule>
    <cfRule type="expression" dxfId="434" priority="72">
      <formula>AND($E125 &lt; 0, ISNUMBER($E125))</formula>
    </cfRule>
  </conditionalFormatting>
  <conditionalFormatting sqref="A125:C144 G125:I144">
    <cfRule type="expression" dxfId="433" priority="67">
      <formula>AND($H125 &gt; 0, ISNUMBER($H125))</formula>
    </cfRule>
    <cfRule type="expression" dxfId="432" priority="68">
      <formula>AND($H125 = 0 * ISNUMBER($H125))</formula>
    </cfRule>
    <cfRule type="expression" dxfId="431" priority="69">
      <formula>AND($H125 &lt; 0, ISNUMBER($H125))</formula>
    </cfRule>
  </conditionalFormatting>
  <conditionalFormatting sqref="A125:C144 J125:L144">
    <cfRule type="expression" dxfId="430" priority="64">
      <formula>AND($K125 &gt; 0, ISNUMBER($K125))</formula>
    </cfRule>
    <cfRule type="expression" dxfId="429" priority="65">
      <formula>AND($K125 = 0 * ISNUMBER($K125))</formula>
    </cfRule>
    <cfRule type="expression" dxfId="428" priority="66">
      <formula>AND($K125 &lt; 0, ISNUMBER($K125))</formula>
    </cfRule>
  </conditionalFormatting>
  <conditionalFormatting sqref="D123:F124 E145:F145">
    <cfRule type="expression" dxfId="427" priority="58">
      <formula>$E$145 &gt; 0</formula>
    </cfRule>
    <cfRule type="expression" dxfId="426" priority="59">
      <formula>$E$145 = 0</formula>
    </cfRule>
    <cfRule type="expression" dxfId="425" priority="60">
      <formula>$E$145 &lt; 0</formula>
    </cfRule>
  </conditionalFormatting>
  <conditionalFormatting sqref="G123:I124 H145:I145">
    <cfRule type="expression" dxfId="424" priority="55">
      <formula>$H$145 &gt; 0</formula>
    </cfRule>
    <cfRule type="expression" dxfId="423" priority="56">
      <formula>$H$145 = 0</formula>
    </cfRule>
    <cfRule type="expression" dxfId="422" priority="57">
      <formula>$H$145 &lt; 0</formula>
    </cfRule>
  </conditionalFormatting>
  <conditionalFormatting sqref="J123:L124 K145:L145">
    <cfRule type="expression" dxfId="421" priority="52">
      <formula>$K$145 &gt; 0</formula>
    </cfRule>
    <cfRule type="expression" dxfId="420" priority="53">
      <formula>$K$145 = 0</formula>
    </cfRule>
    <cfRule type="expression" dxfId="419" priority="54">
      <formula>$K$145 &lt; 0</formula>
    </cfRule>
  </conditionalFormatting>
  <conditionalFormatting sqref="M123:O124 N145:O145">
    <cfRule type="expression" dxfId="418" priority="49">
      <formula>$N$145 &gt; 0</formula>
    </cfRule>
    <cfRule type="expression" dxfId="417" priority="50">
      <formula>$N$145 = 0</formula>
    </cfRule>
    <cfRule type="expression" dxfId="416" priority="51">
      <formula>$N$145 &lt; 0</formula>
    </cfRule>
  </conditionalFormatting>
  <conditionalFormatting sqref="A152:C171 M152:O171">
    <cfRule type="expression" dxfId="415" priority="37">
      <formula>AND($N152 &gt; 0, ISNUMBER($N152))</formula>
    </cfRule>
    <cfRule type="expression" dxfId="414" priority="38">
      <formula>AND($N152 = 0 * ISNUMBER($N152))</formula>
    </cfRule>
    <cfRule type="expression" dxfId="413" priority="39">
      <formula>AND($N152 &lt; 0, ISNUMBER($N152))</formula>
    </cfRule>
  </conditionalFormatting>
  <conditionalFormatting sqref="A152:F171">
    <cfRule type="expression" dxfId="412" priority="46">
      <formula>AND($E152 &gt; 0, ISNUMBER($E152))</formula>
    </cfRule>
    <cfRule type="expression" dxfId="411" priority="47">
      <formula>AND($E152 = 0 * ISNUMBER($E152))</formula>
    </cfRule>
    <cfRule type="expression" dxfId="410" priority="48">
      <formula>AND($E152 &lt; 0, ISNUMBER($E152))</formula>
    </cfRule>
  </conditionalFormatting>
  <conditionalFormatting sqref="A152:C171 G152:I171">
    <cfRule type="expression" dxfId="409" priority="43">
      <formula>AND($H152 &gt; 0, ISNUMBER($H152))</formula>
    </cfRule>
    <cfRule type="expression" dxfId="408" priority="44">
      <formula>AND($H152 = 0 * ISNUMBER($H152))</formula>
    </cfRule>
    <cfRule type="expression" dxfId="407" priority="45">
      <formula>AND($H152 &lt; 0, ISNUMBER($H152))</formula>
    </cfRule>
  </conditionalFormatting>
  <conditionalFormatting sqref="A152:C171 J152:L171">
    <cfRule type="expression" dxfId="406" priority="40">
      <formula>AND($K152 &gt; 0, ISNUMBER($K152))</formula>
    </cfRule>
    <cfRule type="expression" dxfId="405" priority="41">
      <formula>AND($K152 = 0 * ISNUMBER($K152))</formula>
    </cfRule>
    <cfRule type="expression" dxfId="404" priority="42">
      <formula>AND($K152 &lt; 0, ISNUMBER($K152))</formula>
    </cfRule>
  </conditionalFormatting>
  <conditionalFormatting sqref="D150:F151 E172:F172">
    <cfRule type="expression" dxfId="403" priority="34">
      <formula>$E$172 &gt; 0</formula>
    </cfRule>
    <cfRule type="expression" dxfId="402" priority="35">
      <formula>$E$172 = 0</formula>
    </cfRule>
    <cfRule type="expression" dxfId="401" priority="36">
      <formula>$E$172 &lt; 0</formula>
    </cfRule>
  </conditionalFormatting>
  <conditionalFormatting sqref="G150:I151 H172:I172">
    <cfRule type="expression" dxfId="400" priority="31">
      <formula>$H$172 &gt; 0</formula>
    </cfRule>
    <cfRule type="expression" dxfId="399" priority="32">
      <formula>$H$172 = 0</formula>
    </cfRule>
    <cfRule type="expression" dxfId="398" priority="33">
      <formula>$H$172 &lt; 0</formula>
    </cfRule>
  </conditionalFormatting>
  <conditionalFormatting sqref="J150:L151 K172:L172">
    <cfRule type="expression" dxfId="397" priority="28">
      <formula>$K$172 &gt; 0</formula>
    </cfRule>
    <cfRule type="expression" dxfId="396" priority="29">
      <formula>$K$172 = 0</formula>
    </cfRule>
    <cfRule type="expression" dxfId="395" priority="30">
      <formula>$K$172 &lt; 0</formula>
    </cfRule>
  </conditionalFormatting>
  <conditionalFormatting sqref="M150:O151 N172:O172">
    <cfRule type="expression" dxfId="394" priority="25">
      <formula>$N$172 &gt; 0</formula>
    </cfRule>
    <cfRule type="expression" dxfId="393" priority="26">
      <formula>$N$172 = 0</formula>
    </cfRule>
    <cfRule type="expression" dxfId="392" priority="27">
      <formula>$N$172 &lt; 0</formula>
    </cfRule>
  </conditionalFormatting>
  <conditionalFormatting sqref="A179:C198 M179:O198">
    <cfRule type="expression" dxfId="391" priority="13">
      <formula>AND($N179 &gt; 0, ISNUMBER($N179))</formula>
    </cfRule>
    <cfRule type="expression" dxfId="390" priority="14">
      <formula>AND($N179 = 0 * ISNUMBER($N179))</formula>
    </cfRule>
    <cfRule type="expression" dxfId="389" priority="15">
      <formula>AND($N179 &lt; 0, ISNUMBER($N179))</formula>
    </cfRule>
  </conditionalFormatting>
  <conditionalFormatting sqref="A179:F198">
    <cfRule type="expression" dxfId="388" priority="22">
      <formula>AND($E179 &gt; 0, ISNUMBER($E179))</formula>
    </cfRule>
    <cfRule type="expression" dxfId="387" priority="23">
      <formula>AND($E179 = 0 * ISNUMBER($E179))</formula>
    </cfRule>
    <cfRule type="expression" dxfId="386" priority="24">
      <formula>AND($E179 &lt; 0, ISNUMBER($E179))</formula>
    </cfRule>
  </conditionalFormatting>
  <conditionalFormatting sqref="A179:C198 G179:I198">
    <cfRule type="expression" dxfId="385" priority="19">
      <formula>AND($H179 &gt; 0, ISNUMBER($H179))</formula>
    </cfRule>
    <cfRule type="expression" dxfId="384" priority="20">
      <formula>AND($H179 = 0 * ISNUMBER($H179))</formula>
    </cfRule>
    <cfRule type="expression" dxfId="383" priority="21">
      <formula>AND($H179 &lt; 0, ISNUMBER($H179))</formula>
    </cfRule>
  </conditionalFormatting>
  <conditionalFormatting sqref="A179:C198 J179:L198">
    <cfRule type="expression" dxfId="382" priority="16">
      <formula>AND($K179 &gt; 0, ISNUMBER($K179))</formula>
    </cfRule>
    <cfRule type="expression" dxfId="381" priority="17">
      <formula>AND($K179 = 0 * ISNUMBER($K179))</formula>
    </cfRule>
    <cfRule type="expression" dxfId="380" priority="18">
      <formula>AND($K179 &lt; 0, ISNUMBER($K179))</formula>
    </cfRule>
  </conditionalFormatting>
  <conditionalFormatting sqref="D177:F178 E199:F199">
    <cfRule type="expression" dxfId="379" priority="10">
      <formula>$E$199 &gt; 0</formula>
    </cfRule>
    <cfRule type="expression" dxfId="378" priority="11">
      <formula>$E$199 = 0</formula>
    </cfRule>
    <cfRule type="expression" dxfId="377" priority="12">
      <formula>$E$199 &lt; 0</formula>
    </cfRule>
  </conditionalFormatting>
  <conditionalFormatting sqref="G177:I178 H199:I199">
    <cfRule type="expression" dxfId="376" priority="7">
      <formula>$H$199 &gt; 0</formula>
    </cfRule>
    <cfRule type="expression" dxfId="375" priority="8">
      <formula>$H$199 = 0</formula>
    </cfRule>
    <cfRule type="expression" dxfId="374" priority="9">
      <formula>$H$199 &lt; 0</formula>
    </cfRule>
  </conditionalFormatting>
  <conditionalFormatting sqref="J177:L178 K199:L199">
    <cfRule type="expression" dxfId="373" priority="4">
      <formula>$K$199 &gt; 0</formula>
    </cfRule>
    <cfRule type="expression" dxfId="372" priority="5">
      <formula>$K$199 = 0</formula>
    </cfRule>
    <cfRule type="expression" dxfId="371" priority="6">
      <formula>$K$199 &lt; 0</formula>
    </cfRule>
  </conditionalFormatting>
  <conditionalFormatting sqref="M177:O178 N199:O199">
    <cfRule type="expression" dxfId="370" priority="1">
      <formula>$N$199 &gt; 0</formula>
    </cfRule>
    <cfRule type="expression" dxfId="369" priority="2">
      <formula>$N$199 = 0</formula>
    </cfRule>
    <cfRule type="expression" dxfId="3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E2E42-55C8-407D-B973-BF48B2D341A0}">
  <sheetPr codeName="Sheet21"/>
  <dimension ref="A1:S199"/>
  <sheetViews>
    <sheetView topLeftCell="A9" zoomScaleNormal="100" workbookViewId="0">
      <selection activeCell="A17" sqref="A17:A34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20.5" style="119" bestFit="1" customWidth="1"/>
    <col min="5" max="5" width="8.875" style="119" bestFit="1" customWidth="1"/>
    <col min="6" max="6" width="14.375" style="119" bestFit="1" customWidth="1"/>
    <col min="7" max="7" width="20.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4" style="119" bestFit="1" customWidth="1"/>
    <col min="13" max="13" width="14.25" style="119" bestFit="1" customWidth="1"/>
    <col min="14" max="14" width="8.5" style="119" bestFit="1" customWidth="1"/>
    <col min="15" max="15" width="14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49" t="s">
        <v>0</v>
      </c>
      <c r="B1" s="250"/>
      <c r="C1" s="250"/>
      <c r="D1" s="250"/>
      <c r="E1" s="250"/>
      <c r="F1" s="251"/>
      <c r="G1" s="252">
        <v>44331</v>
      </c>
      <c r="H1" s="253"/>
      <c r="I1" s="254"/>
      <c r="J1" s="249" t="s">
        <v>1</v>
      </c>
      <c r="K1" s="250"/>
      <c r="L1" s="250"/>
      <c r="M1" s="250"/>
      <c r="N1" s="250"/>
      <c r="O1" s="251"/>
      <c r="Q1" s="249" t="s">
        <v>2</v>
      </c>
      <c r="R1" s="251"/>
    </row>
    <row r="2" spans="1:19" ht="17.25" customHeight="1">
      <c r="A2" s="116" t="s">
        <v>3</v>
      </c>
      <c r="B2" s="323" t="s">
        <v>8</v>
      </c>
      <c r="C2" s="324"/>
      <c r="D2" s="324"/>
      <c r="E2" s="324"/>
      <c r="F2" s="325"/>
      <c r="G2" s="258" t="s">
        <v>46</v>
      </c>
      <c r="H2" s="259"/>
      <c r="I2" s="260"/>
      <c r="J2" s="116" t="s">
        <v>3</v>
      </c>
      <c r="K2" s="323" t="s">
        <v>376</v>
      </c>
      <c r="L2" s="324"/>
      <c r="M2" s="324"/>
      <c r="N2" s="324"/>
      <c r="O2" s="325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20" t="s">
        <v>384</v>
      </c>
      <c r="C3" s="321"/>
      <c r="D3" s="321"/>
      <c r="E3" s="321"/>
      <c r="F3" s="322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-40,532 KRW (-1.35%)</v>
      </c>
      <c r="H3" s="265"/>
      <c r="I3" s="266"/>
      <c r="J3" s="117" t="s">
        <v>7</v>
      </c>
      <c r="K3" s="320" t="s">
        <v>377</v>
      </c>
      <c r="L3" s="321"/>
      <c r="M3" s="321"/>
      <c r="N3" s="321"/>
      <c r="O3" s="322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20" t="s">
        <v>16</v>
      </c>
      <c r="C4" s="321"/>
      <c r="D4" s="321"/>
      <c r="E4" s="321"/>
      <c r="F4" s="322"/>
      <c r="G4" s="258" t="s">
        <v>44</v>
      </c>
      <c r="H4" s="259"/>
      <c r="I4" s="260"/>
      <c r="J4" s="117" t="s">
        <v>11</v>
      </c>
      <c r="K4" s="320" t="s">
        <v>378</v>
      </c>
      <c r="L4" s="321"/>
      <c r="M4" s="321"/>
      <c r="N4" s="321"/>
      <c r="O4" s="322"/>
      <c r="Q4" s="237" t="s">
        <v>14</v>
      </c>
      <c r="R4" s="198">
        <v>0.95833333333333337</v>
      </c>
    </row>
    <row r="5" spans="1:19" ht="17.25" customHeight="1" thickBot="1">
      <c r="A5" s="117" t="s">
        <v>15</v>
      </c>
      <c r="B5" s="320" t="s">
        <v>374</v>
      </c>
      <c r="C5" s="321"/>
      <c r="D5" s="321"/>
      <c r="E5" s="321"/>
      <c r="F5" s="322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-50,414 KRW (-1.68%)</v>
      </c>
      <c r="H5" s="265"/>
      <c r="I5" s="266"/>
      <c r="J5" s="117" t="s">
        <v>15</v>
      </c>
      <c r="K5" s="320" t="s">
        <v>379</v>
      </c>
      <c r="L5" s="321"/>
      <c r="M5" s="321"/>
      <c r="N5" s="321"/>
      <c r="O5" s="322"/>
    </row>
    <row r="6" spans="1:19">
      <c r="A6" s="117" t="s">
        <v>18</v>
      </c>
      <c r="B6" s="320"/>
      <c r="C6" s="321"/>
      <c r="D6" s="321"/>
      <c r="E6" s="321"/>
      <c r="F6" s="322"/>
      <c r="G6" s="258" t="s">
        <v>45</v>
      </c>
      <c r="H6" s="259"/>
      <c r="I6" s="260"/>
      <c r="J6" s="117" t="s">
        <v>18</v>
      </c>
      <c r="K6" s="320" t="s">
        <v>380</v>
      </c>
      <c r="L6" s="321"/>
      <c r="M6" s="321"/>
      <c r="N6" s="321"/>
      <c r="O6" s="322"/>
    </row>
    <row r="7" spans="1:19" ht="17.25" thickBot="1">
      <c r="A7" s="117" t="s">
        <v>21</v>
      </c>
      <c r="B7" s="320"/>
      <c r="C7" s="321"/>
      <c r="D7" s="321"/>
      <c r="E7" s="321"/>
      <c r="F7" s="322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-15,958 KRW (-0.53%)</v>
      </c>
      <c r="H7" s="265"/>
      <c r="I7" s="266"/>
      <c r="J7" s="117" t="s">
        <v>21</v>
      </c>
      <c r="K7" s="320" t="s">
        <v>381</v>
      </c>
      <c r="L7" s="321"/>
      <c r="M7" s="321"/>
      <c r="N7" s="321"/>
      <c r="O7" s="322"/>
    </row>
    <row r="8" spans="1:19" ht="17.25" thickBot="1">
      <c r="A8" s="117" t="s">
        <v>24</v>
      </c>
      <c r="B8" s="320"/>
      <c r="C8" s="321"/>
      <c r="D8" s="321"/>
      <c r="E8" s="321"/>
      <c r="F8" s="322"/>
      <c r="G8" s="258" t="s">
        <v>285</v>
      </c>
      <c r="H8" s="259"/>
      <c r="I8" s="260"/>
      <c r="J8" s="117" t="s">
        <v>24</v>
      </c>
      <c r="K8" s="320"/>
      <c r="L8" s="321"/>
      <c r="M8" s="321"/>
      <c r="N8" s="321"/>
      <c r="O8" s="322"/>
      <c r="Q8" s="249" t="s">
        <v>27</v>
      </c>
      <c r="R8" s="251"/>
    </row>
    <row r="9" spans="1:19" ht="17.25" thickBot="1">
      <c r="A9" s="117" t="s">
        <v>28</v>
      </c>
      <c r="B9" s="320"/>
      <c r="C9" s="321"/>
      <c r="D9" s="321"/>
      <c r="E9" s="321"/>
      <c r="F9" s="322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-9,858 KRW (-0.33%)</v>
      </c>
      <c r="H9" s="265"/>
      <c r="I9" s="266"/>
      <c r="J9" s="117" t="s">
        <v>28</v>
      </c>
      <c r="K9" s="320"/>
      <c r="L9" s="321"/>
      <c r="M9" s="321"/>
      <c r="N9" s="321"/>
      <c r="O9" s="322"/>
      <c r="Q9" s="120" t="s">
        <v>29</v>
      </c>
      <c r="R9" s="199">
        <v>10</v>
      </c>
    </row>
    <row r="10" spans="1:19">
      <c r="A10" s="117" t="s">
        <v>30</v>
      </c>
      <c r="B10" s="320"/>
      <c r="C10" s="321"/>
      <c r="D10" s="321"/>
      <c r="E10" s="321"/>
      <c r="F10" s="322"/>
      <c r="G10" s="258" t="s">
        <v>47</v>
      </c>
      <c r="H10" s="259"/>
      <c r="I10" s="260"/>
      <c r="J10" s="117" t="s">
        <v>30</v>
      </c>
      <c r="K10" s="320" t="s">
        <v>382</v>
      </c>
      <c r="L10" s="321"/>
      <c r="M10" s="321"/>
      <c r="N10" s="321"/>
      <c r="O10" s="322"/>
      <c r="Q10" s="120" t="s">
        <v>31</v>
      </c>
      <c r="R10" s="199">
        <v>100</v>
      </c>
    </row>
    <row r="11" spans="1:19" ht="17.25" thickBot="1">
      <c r="A11" s="118" t="s">
        <v>32</v>
      </c>
      <c r="B11" s="317" t="s">
        <v>383</v>
      </c>
      <c r="C11" s="318"/>
      <c r="D11" s="318"/>
      <c r="E11" s="318"/>
      <c r="F11" s="319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10,262 KRW (0.38%)</v>
      </c>
      <c r="H11" s="265"/>
      <c r="I11" s="266"/>
      <c r="J11" s="118" t="s">
        <v>32</v>
      </c>
      <c r="K11" s="317" t="s">
        <v>373</v>
      </c>
      <c r="L11" s="318"/>
      <c r="M11" s="318"/>
      <c r="N11" s="318"/>
      <c r="O11" s="319"/>
      <c r="Q11" s="237" t="s">
        <v>33</v>
      </c>
      <c r="R11" s="200">
        <v>1000</v>
      </c>
    </row>
    <row r="12" spans="1:19" ht="17.25" thickBot="1"/>
    <row r="13" spans="1:19" ht="17.25" customHeight="1" thickBot="1">
      <c r="A13" s="249" t="s">
        <v>34</v>
      </c>
      <c r="B13" s="250"/>
      <c r="C13" s="250"/>
      <c r="D13" s="250"/>
      <c r="E13" s="250"/>
      <c r="F13" s="250"/>
      <c r="G13" s="250"/>
      <c r="H13" s="250"/>
      <c r="I13" s="250"/>
      <c r="J13" s="250"/>
      <c r="K13" s="250"/>
      <c r="L13" s="250"/>
      <c r="M13" s="250"/>
      <c r="N13" s="250"/>
      <c r="O13" s="251"/>
      <c r="Q13" s="270"/>
      <c r="R13" s="270"/>
      <c r="S13" s="270"/>
    </row>
    <row r="14" spans="1:19" ht="17.25" customHeight="1" thickBot="1">
      <c r="A14" s="233" t="s">
        <v>35</v>
      </c>
      <c r="B14" s="249" t="s">
        <v>36</v>
      </c>
      <c r="C14" s="251"/>
      <c r="D14" s="249" t="s">
        <v>37</v>
      </c>
      <c r="E14" s="250"/>
      <c r="F14" s="251"/>
      <c r="G14" s="276">
        <f>_xlfn.IFNA(VLOOKUP(B14, 현재가테이블!$B$2:$D$200, 2, FALSE), "-")</f>
        <v>60874000</v>
      </c>
      <c r="H14" s="277"/>
      <c r="I14" s="278"/>
      <c r="J14" s="249" t="s">
        <v>38</v>
      </c>
      <c r="K14" s="250"/>
      <c r="L14" s="251"/>
      <c r="M14" s="279">
        <f>_xlfn.IFNA(VLOOKUP(B14, 현재가테이블!$B$2:$D$200, 3, FALSE), "-")</f>
        <v>-1.4936000099999999E-2</v>
      </c>
      <c r="N14" s="280"/>
      <c r="O14" s="281"/>
      <c r="Q14" s="270"/>
      <c r="R14" s="270"/>
      <c r="S14" s="270"/>
    </row>
    <row r="15" spans="1:19" ht="17.25" customHeight="1" thickBot="1">
      <c r="A15" s="314" t="s">
        <v>39</v>
      </c>
      <c r="B15" s="315" t="str">
        <f>TEXT($G$1, "[$-ko-KR]yyyy-mm-dd(ddd) ") &amp; "오전 00:00"</f>
        <v>2021-05-15(토) 오전 00:00</v>
      </c>
      <c r="C15" s="316"/>
      <c r="D15" s="249" t="str">
        <f>TEXT($G$1, "[$-ko-KR]yyyy-mm-dd(ddd) ") &amp; "오후 14:00"</f>
        <v>2021-05-15(토) 오후 14:00</v>
      </c>
      <c r="E15" s="250"/>
      <c r="F15" s="251"/>
      <c r="G15" s="249" t="str">
        <f>TEXT($G$1, "[$-ko-KR]yyyy-mm-dd(ddd) ") &amp; "오후 19:00"</f>
        <v>2021-05-15(토) 오후 19:00</v>
      </c>
      <c r="H15" s="250"/>
      <c r="I15" s="251"/>
      <c r="J15" s="249" t="str">
        <f>TEXT($G$1, "[$-ko-KR]yyyy-mm-dd(ddd) ") &amp; "오후 21:00"</f>
        <v>2021-05-15(토) 오후 21:00</v>
      </c>
      <c r="K15" s="250"/>
      <c r="L15" s="251"/>
      <c r="M15" s="249" t="str">
        <f>TEXT($G$1+1, "[$-ko-KR]yyyy-mm-dd(ddd) ") &amp; "오전 00:00"</f>
        <v>2021-05-16(일) 오전 00:00</v>
      </c>
      <c r="N15" s="250"/>
      <c r="O15" s="251"/>
      <c r="Q15" s="270"/>
      <c r="R15" s="270"/>
      <c r="S15" s="270"/>
    </row>
    <row r="16" spans="1:19" ht="17.25" customHeight="1" thickBot="1">
      <c r="A16" s="314"/>
      <c r="B16" s="120" t="s">
        <v>37</v>
      </c>
      <c r="C16" s="121" t="s">
        <v>38</v>
      </c>
      <c r="D16" s="120" t="s">
        <v>37</v>
      </c>
      <c r="E16" s="121" t="s">
        <v>40</v>
      </c>
      <c r="F16" s="240" t="s">
        <v>41</v>
      </c>
      <c r="G16" s="233" t="s">
        <v>37</v>
      </c>
      <c r="H16" s="234" t="s">
        <v>40</v>
      </c>
      <c r="I16" s="235" t="s">
        <v>41</v>
      </c>
      <c r="J16" s="121" t="s">
        <v>37</v>
      </c>
      <c r="K16" s="121" t="s">
        <v>40</v>
      </c>
      <c r="L16" s="238" t="s">
        <v>41</v>
      </c>
      <c r="M16" s="120" t="s">
        <v>37</v>
      </c>
      <c r="N16" s="121" t="s">
        <v>40</v>
      </c>
      <c r="O16" s="239" t="s">
        <v>41</v>
      </c>
      <c r="Q16" s="275"/>
      <c r="R16" s="275"/>
      <c r="S16" s="275"/>
    </row>
    <row r="17" spans="1:19" ht="17.25" customHeight="1" thickBot="1">
      <c r="A17" s="122" t="s">
        <v>134</v>
      </c>
      <c r="B17" s="123">
        <f t="shared" ref="B17:B28" si="0">IF(NOT(ISBLANK(_xlfn.IFNA(VLOOKUP($A17, $A$40:$O$199, 2, FALSE), ))), _xlfn.IFNA(VLOOKUP($A17, $A$40:$O$199, 2, FALSE), ), "")</f>
        <v>144</v>
      </c>
      <c r="C17" s="72">
        <f t="shared" ref="C17:C28" si="1">IF(NOT(ISBLANK(_xlfn.IFNA(VLOOKUP($A17, $A$40:$O$199, 3, FALSE), ))), _xlfn.IFNA(VLOOKUP($A17, $A$40:$O$199, 3, FALSE), ), "")</f>
        <v>6.9930069999999999E-3</v>
      </c>
      <c r="D17" s="123">
        <f t="shared" ref="D17:D28" si="2">IF(NOT(ISBLANK(_xlfn.IFNA(VLOOKUP($A17, $A$40:$O$199, 4, FALSE), ))), _xlfn.IFNA(VLOOKUP($A17, $A$40:$O$199, 4, FALSE), ), "")</f>
        <v>145</v>
      </c>
      <c r="E17" s="72">
        <f t="shared" ref="E17:E28" si="3">IF(NOT(ISBLANK(_xlfn.IFNA(VLOOKUP($A17, $A$40:$O$199, 5, FALSE), ))), _xlfn.IFNA(VLOOKUP($A17, $A$40:$O$199, 5, FALSE), ), "")</f>
        <v>6.9444444444444441E-3</v>
      </c>
      <c r="F17" s="140">
        <f t="shared" ref="F17:F28" si="4">IF(NOT(ISBLANK(_xlfn.IFNA(VLOOKUP($A17, $A$40:$O$199, 6, FALSE), ))), _xlfn.IFNA(VLOOKUP($A17, $A$40:$O$199, 6, FALSE), ), "")</f>
        <v>1041.6666666666665</v>
      </c>
      <c r="G17" s="38">
        <f t="shared" ref="G17:G28" si="5">IF(NOT(ISBLANK(_xlfn.IFNA(VLOOKUP($A17, $A$40:$O$199, 7, FALSE), ))), _xlfn.IFNA(VLOOKUP($A17, $A$40:$O$199, 7, FALSE), ), "")</f>
        <v>141</v>
      </c>
      <c r="H17" s="72">
        <f t="shared" ref="H17:H28" si="6">IF(NOT(ISBLANK(_xlfn.IFNA(VLOOKUP($A17, $A$40:$O$199, 8, FALSE), ))), _xlfn.IFNA(VLOOKUP($A17, $A$40:$O$199, 8, FALSE), ), "")</f>
        <v>-2.0833333333333332E-2</v>
      </c>
      <c r="I17" s="201">
        <f t="shared" ref="I17:I28" si="7">IF(NOT(ISBLANK(_xlfn.IFNA(VLOOKUP($A17, $A$40:$O$199, 9, FALSE), ))), _xlfn.IFNA(VLOOKUP($A17, $A$40:$O$199, 9, FALSE), ), "")</f>
        <v>-3125</v>
      </c>
      <c r="J17" s="123">
        <f t="shared" ref="J17:J28" si="8">IF(NOT(ISBLANK(_xlfn.IFNA(VLOOKUP($A17, $A$40:$O$199, 10, FALSE), ))), _xlfn.IFNA(VLOOKUP($A17, $A$40:$O$199, 10, FALSE), ), "")</f>
        <v>141</v>
      </c>
      <c r="K17" s="72">
        <f t="shared" ref="K17:K28" si="9">IF(NOT(ISBLANK(_xlfn.IFNA(VLOOKUP($A17, $A$40:$O$199, 11, FALSE), ))), _xlfn.IFNA(VLOOKUP($A17, $A$40:$O$199, 11, FALSE), ), "")</f>
        <v>-2.0833333333333332E-2</v>
      </c>
      <c r="L17" s="140">
        <f t="shared" ref="L17:L28" si="10">IF(NOT(ISBLANK(_xlfn.IFNA(VLOOKUP($A17, $A$40:$O$199, 12, FALSE), ))), _xlfn.IFNA(VLOOKUP($A17, $A$40:$O$199, 12, FALSE), ), "")</f>
        <v>-3125</v>
      </c>
      <c r="M17" s="38">
        <f t="shared" ref="M17:M28" si="11">IF(NOT(ISBLANK(_xlfn.IFNA(VLOOKUP($A17, $A$40:$O$199, 13, FALSE), ))), _xlfn.IFNA(VLOOKUP($A17, $A$40:$O$199, 13, FALSE), ), "")</f>
        <v>142</v>
      </c>
      <c r="N17" s="72">
        <f t="shared" ref="N17:N28" si="12">IF(NOT(ISBLANK(_xlfn.IFNA(VLOOKUP($A17, $A$40:$O$199, 14, FALSE), ))), _xlfn.IFNA(VLOOKUP($A17, $A$40:$O$199, 14, FALSE), ), "")</f>
        <v>-1.3888888888888888E-2</v>
      </c>
      <c r="O17" s="140">
        <f t="shared" ref="O17:O28" si="13">IF(NOT(ISBLANK(_xlfn.IFNA(VLOOKUP($A17, $A$40:$O$199, 15, FALSE), ))), _xlfn.IFNA(VLOOKUP($A17, $A$40:$O$199, 15, FALSE), ), "")</f>
        <v>-2083.333333333333</v>
      </c>
      <c r="Q17" s="270"/>
      <c r="R17" s="270"/>
      <c r="S17" s="270"/>
    </row>
    <row r="18" spans="1:19" ht="17.25" customHeight="1" thickBot="1">
      <c r="A18" s="124" t="s">
        <v>120</v>
      </c>
      <c r="B18" s="125">
        <f t="shared" si="0"/>
        <v>204</v>
      </c>
      <c r="C18" s="73">
        <f t="shared" si="1"/>
        <v>-9.7087379000000001E-3</v>
      </c>
      <c r="D18" s="125">
        <f t="shared" si="2"/>
        <v>202</v>
      </c>
      <c r="E18" s="73">
        <f t="shared" si="3"/>
        <v>-9.8039215686274508E-3</v>
      </c>
      <c r="F18" s="136">
        <f t="shared" si="4"/>
        <v>-1470.5882352941176</v>
      </c>
      <c r="G18" s="39">
        <f t="shared" si="5"/>
        <v>196</v>
      </c>
      <c r="H18" s="73">
        <f t="shared" si="6"/>
        <v>-3.9215686274509803E-2</v>
      </c>
      <c r="I18" s="202">
        <f t="shared" si="7"/>
        <v>-5882.3529411764703</v>
      </c>
      <c r="J18" s="125">
        <f t="shared" si="8"/>
        <v>198</v>
      </c>
      <c r="K18" s="73">
        <f t="shared" si="9"/>
        <v>-2.9411764705882353E-2</v>
      </c>
      <c r="L18" s="136">
        <f t="shared" si="10"/>
        <v>-4411.7647058823532</v>
      </c>
      <c r="M18" s="39">
        <f t="shared" si="11"/>
        <v>199</v>
      </c>
      <c r="N18" s="73">
        <f t="shared" si="12"/>
        <v>-2.4509803921568627E-2</v>
      </c>
      <c r="O18" s="136">
        <f t="shared" si="13"/>
        <v>-3676.4705882352941</v>
      </c>
      <c r="Q18" s="270"/>
      <c r="R18" s="270"/>
      <c r="S18" s="270"/>
    </row>
    <row r="19" spans="1:19" ht="17.25" customHeight="1" thickBot="1">
      <c r="A19" s="124" t="s">
        <v>264</v>
      </c>
      <c r="B19" s="125">
        <f t="shared" si="0"/>
        <v>149</v>
      </c>
      <c r="C19" s="73">
        <f t="shared" si="1"/>
        <v>6.7567568000000003E-3</v>
      </c>
      <c r="D19" s="125">
        <f t="shared" si="2"/>
        <v>150</v>
      </c>
      <c r="E19" s="73">
        <f t="shared" si="3"/>
        <v>6.7114093959731542E-3</v>
      </c>
      <c r="F19" s="136">
        <f t="shared" si="4"/>
        <v>1006.7114093959731</v>
      </c>
      <c r="G19" s="39">
        <f t="shared" si="5"/>
        <v>145</v>
      </c>
      <c r="H19" s="73">
        <f t="shared" si="6"/>
        <v>-2.6845637583892617E-2</v>
      </c>
      <c r="I19" s="202">
        <f t="shared" si="7"/>
        <v>-4026.8456375838923</v>
      </c>
      <c r="J19" s="125">
        <f t="shared" si="8"/>
        <v>147</v>
      </c>
      <c r="K19" s="73">
        <f t="shared" si="9"/>
        <v>-1.3422818791946308E-2</v>
      </c>
      <c r="L19" s="136">
        <f t="shared" si="10"/>
        <v>-2013.4228187919462</v>
      </c>
      <c r="M19" s="39">
        <f t="shared" si="11"/>
        <v>147</v>
      </c>
      <c r="N19" s="73">
        <f t="shared" si="12"/>
        <v>-1.3422818791946308E-2</v>
      </c>
      <c r="O19" s="136">
        <f t="shared" si="13"/>
        <v>-2013.4228187919462</v>
      </c>
      <c r="Q19" s="275"/>
      <c r="R19" s="275"/>
      <c r="S19" s="275"/>
    </row>
    <row r="20" spans="1:19" ht="17.25" customHeight="1" thickBot="1">
      <c r="A20" s="124" t="s">
        <v>230</v>
      </c>
      <c r="B20" s="125">
        <f t="shared" si="0"/>
        <v>146</v>
      </c>
      <c r="C20" s="73">
        <f t="shared" si="1"/>
        <v>-6.8027210999999999E-3</v>
      </c>
      <c r="D20" s="125">
        <f t="shared" si="2"/>
        <v>159</v>
      </c>
      <c r="E20" s="73">
        <f t="shared" si="3"/>
        <v>8.9041095890410954E-2</v>
      </c>
      <c r="F20" s="136">
        <f t="shared" si="4"/>
        <v>13356.164383561643</v>
      </c>
      <c r="G20" s="39">
        <f t="shared" si="5"/>
        <v>154</v>
      </c>
      <c r="H20" s="73">
        <f t="shared" si="6"/>
        <v>5.4794520547945202E-2</v>
      </c>
      <c r="I20" s="202">
        <f t="shared" si="7"/>
        <v>8219.17808219178</v>
      </c>
      <c r="J20" s="125">
        <f t="shared" si="8"/>
        <v>155</v>
      </c>
      <c r="K20" s="73">
        <f t="shared" si="9"/>
        <v>6.1643835616438353E-2</v>
      </c>
      <c r="L20" s="136">
        <f t="shared" si="10"/>
        <v>9246.5753424657523</v>
      </c>
      <c r="M20" s="39">
        <f t="shared" si="11"/>
        <v>155</v>
      </c>
      <c r="N20" s="73">
        <f t="shared" si="12"/>
        <v>6.1643835616438353E-2</v>
      </c>
      <c r="O20" s="136">
        <f t="shared" si="13"/>
        <v>9246.5753424657523</v>
      </c>
      <c r="Q20" s="275"/>
      <c r="R20" s="275"/>
      <c r="S20" s="275"/>
    </row>
    <row r="21" spans="1:19" ht="17.25" customHeight="1" thickBot="1">
      <c r="A21" s="126" t="s">
        <v>282</v>
      </c>
      <c r="B21" s="127">
        <f t="shared" si="0"/>
        <v>149</v>
      </c>
      <c r="C21" s="74">
        <f t="shared" si="1"/>
        <v>-6.6666666999999997E-3</v>
      </c>
      <c r="D21" s="127">
        <f t="shared" si="2"/>
        <v>154</v>
      </c>
      <c r="E21" s="74">
        <f t="shared" si="3"/>
        <v>3.3557046979865772E-2</v>
      </c>
      <c r="F21" s="203">
        <f t="shared" si="4"/>
        <v>5033.5570469798658</v>
      </c>
      <c r="G21" s="44">
        <f t="shared" si="5"/>
        <v>153</v>
      </c>
      <c r="H21" s="74">
        <f t="shared" si="6"/>
        <v>2.6845637583892617E-2</v>
      </c>
      <c r="I21" s="204">
        <f t="shared" si="7"/>
        <v>4026.8456375838923</v>
      </c>
      <c r="J21" s="127">
        <f t="shared" si="8"/>
        <v>153</v>
      </c>
      <c r="K21" s="74">
        <f t="shared" si="9"/>
        <v>2.6845637583892617E-2</v>
      </c>
      <c r="L21" s="203">
        <f t="shared" si="10"/>
        <v>4026.8456375838923</v>
      </c>
      <c r="M21" s="44">
        <f t="shared" si="11"/>
        <v>151</v>
      </c>
      <c r="N21" s="74">
        <f t="shared" si="12"/>
        <v>1.3422818791946308E-2</v>
      </c>
      <c r="O21" s="203">
        <f t="shared" si="13"/>
        <v>2013.4228187919462</v>
      </c>
      <c r="Q21" s="275"/>
      <c r="R21" s="275"/>
      <c r="S21" s="275"/>
    </row>
    <row r="22" spans="1:19" ht="17.25" customHeight="1" thickBot="1">
      <c r="A22" s="124" t="s">
        <v>240</v>
      </c>
      <c r="B22" s="128">
        <f t="shared" si="0"/>
        <v>159</v>
      </c>
      <c r="C22" s="76">
        <f t="shared" si="1"/>
        <v>4.6052631599999998E-2</v>
      </c>
      <c r="D22" s="128">
        <f t="shared" si="2"/>
        <v>162</v>
      </c>
      <c r="E22" s="76">
        <f t="shared" si="3"/>
        <v>1.8867924528301886E-2</v>
      </c>
      <c r="F22" s="205">
        <f t="shared" si="4"/>
        <v>2830.1886792452829</v>
      </c>
      <c r="G22" s="45">
        <f t="shared" si="5"/>
        <v>157</v>
      </c>
      <c r="H22" s="76">
        <f t="shared" si="6"/>
        <v>-1.2578616352201259E-2</v>
      </c>
      <c r="I22" s="206">
        <f t="shared" si="7"/>
        <v>-1886.7924528301887</v>
      </c>
      <c r="J22" s="128">
        <f t="shared" si="8"/>
        <v>159</v>
      </c>
      <c r="K22" s="76">
        <f t="shared" si="9"/>
        <v>0</v>
      </c>
      <c r="L22" s="205">
        <f t="shared" si="10"/>
        <v>0</v>
      </c>
      <c r="M22" s="45">
        <f t="shared" si="11"/>
        <v>157</v>
      </c>
      <c r="N22" s="76">
        <f t="shared" si="12"/>
        <v>-1.2578616352201259E-2</v>
      </c>
      <c r="O22" s="205">
        <f t="shared" si="13"/>
        <v>-1886.7924528301887</v>
      </c>
      <c r="Q22" s="275"/>
      <c r="R22" s="275"/>
      <c r="S22" s="275"/>
    </row>
    <row r="23" spans="1:19" ht="17.25" customHeight="1" thickBot="1">
      <c r="A23" s="124" t="s">
        <v>246</v>
      </c>
      <c r="B23" s="125">
        <f t="shared" si="0"/>
        <v>322</v>
      </c>
      <c r="C23" s="73">
        <f t="shared" si="1"/>
        <v>-6.1728395E-3</v>
      </c>
      <c r="D23" s="125">
        <f t="shared" si="2"/>
        <v>374</v>
      </c>
      <c r="E23" s="73">
        <f t="shared" si="3"/>
        <v>0.16149068322981366</v>
      </c>
      <c r="F23" s="136">
        <f t="shared" si="4"/>
        <v>24223.602484472049</v>
      </c>
      <c r="G23" s="39">
        <f t="shared" si="5"/>
        <v>351</v>
      </c>
      <c r="H23" s="73">
        <f t="shared" si="6"/>
        <v>9.0062111801242239E-2</v>
      </c>
      <c r="I23" s="202">
        <f t="shared" si="7"/>
        <v>13509.316770186337</v>
      </c>
      <c r="J23" s="125">
        <f t="shared" si="8"/>
        <v>351</v>
      </c>
      <c r="K23" s="73">
        <f t="shared" si="9"/>
        <v>9.0062111801242239E-2</v>
      </c>
      <c r="L23" s="136">
        <f t="shared" si="10"/>
        <v>13509.316770186337</v>
      </c>
      <c r="M23" s="39">
        <f t="shared" si="11"/>
        <v>346</v>
      </c>
      <c r="N23" s="73">
        <f t="shared" si="12"/>
        <v>7.4534161490683232E-2</v>
      </c>
      <c r="O23" s="136">
        <f t="shared" si="13"/>
        <v>11180.124223602485</v>
      </c>
      <c r="Q23" s="275"/>
      <c r="R23" s="275"/>
      <c r="S23" s="275"/>
    </row>
    <row r="24" spans="1:19" ht="17.25" customHeight="1" thickBot="1">
      <c r="A24" s="124" t="s">
        <v>200</v>
      </c>
      <c r="B24" s="125">
        <f t="shared" si="0"/>
        <v>305</v>
      </c>
      <c r="C24" s="73">
        <f t="shared" si="1"/>
        <v>-6.5146580000000004E-3</v>
      </c>
      <c r="D24" s="125">
        <f t="shared" si="2"/>
        <v>316</v>
      </c>
      <c r="E24" s="73">
        <f t="shared" si="3"/>
        <v>3.6065573770491806E-2</v>
      </c>
      <c r="F24" s="136">
        <f t="shared" si="4"/>
        <v>5409.8360655737706</v>
      </c>
      <c r="G24" s="39">
        <f t="shared" si="5"/>
        <v>303</v>
      </c>
      <c r="H24" s="73">
        <f t="shared" si="6"/>
        <v>-6.5573770491803279E-3</v>
      </c>
      <c r="I24" s="202">
        <f t="shared" si="7"/>
        <v>-983.60655737704917</v>
      </c>
      <c r="J24" s="125">
        <f t="shared" si="8"/>
        <v>306</v>
      </c>
      <c r="K24" s="73">
        <f t="shared" si="9"/>
        <v>3.2786885245901639E-3</v>
      </c>
      <c r="L24" s="136">
        <f t="shared" si="10"/>
        <v>491.80327868852459</v>
      </c>
      <c r="M24" s="39">
        <f t="shared" si="11"/>
        <v>305</v>
      </c>
      <c r="N24" s="73">
        <f t="shared" si="12"/>
        <v>0</v>
      </c>
      <c r="O24" s="136">
        <f t="shared" si="13"/>
        <v>0</v>
      </c>
      <c r="Q24" s="275"/>
      <c r="R24" s="275"/>
      <c r="S24" s="275"/>
    </row>
    <row r="25" spans="1:19" ht="17.25" customHeight="1" thickBot="1">
      <c r="A25" s="124" t="s">
        <v>232</v>
      </c>
      <c r="B25" s="125">
        <f t="shared" si="0"/>
        <v>150</v>
      </c>
      <c r="C25" s="73">
        <f t="shared" si="1"/>
        <v>1.3513513499999999E-2</v>
      </c>
      <c r="D25" s="125">
        <f t="shared" si="2"/>
        <v>156</v>
      </c>
      <c r="E25" s="73">
        <f t="shared" si="3"/>
        <v>0.04</v>
      </c>
      <c r="F25" s="136">
        <f t="shared" si="4"/>
        <v>6000</v>
      </c>
      <c r="G25" s="39">
        <f t="shared" si="5"/>
        <v>149</v>
      </c>
      <c r="H25" s="73">
        <f t="shared" si="6"/>
        <v>-6.6666666666666671E-3</v>
      </c>
      <c r="I25" s="202">
        <f t="shared" si="7"/>
        <v>-1000.0000000000001</v>
      </c>
      <c r="J25" s="125">
        <f t="shared" si="8"/>
        <v>150</v>
      </c>
      <c r="K25" s="73">
        <f t="shared" si="9"/>
        <v>0</v>
      </c>
      <c r="L25" s="136">
        <f t="shared" si="10"/>
        <v>0</v>
      </c>
      <c r="M25" s="39">
        <f t="shared" si="11"/>
        <v>151</v>
      </c>
      <c r="N25" s="73">
        <f t="shared" si="12"/>
        <v>6.6666666666666671E-3</v>
      </c>
      <c r="O25" s="136">
        <f t="shared" si="13"/>
        <v>1000.0000000000001</v>
      </c>
      <c r="Q25" s="33"/>
      <c r="R25" s="33"/>
    </row>
    <row r="26" spans="1:19" ht="17.25" customHeight="1" thickBot="1">
      <c r="A26" s="129" t="s">
        <v>174</v>
      </c>
      <c r="B26" s="130">
        <f t="shared" si="0"/>
        <v>252</v>
      </c>
      <c r="C26" s="75">
        <f t="shared" si="1"/>
        <v>2.4390243900000001E-2</v>
      </c>
      <c r="D26" s="130">
        <f t="shared" si="2"/>
        <v>252</v>
      </c>
      <c r="E26" s="75">
        <f t="shared" si="3"/>
        <v>0</v>
      </c>
      <c r="F26" s="137">
        <f t="shared" si="4"/>
        <v>0</v>
      </c>
      <c r="G26" s="37">
        <f t="shared" si="5"/>
        <v>242</v>
      </c>
      <c r="H26" s="75">
        <f t="shared" si="6"/>
        <v>-3.968253968253968E-2</v>
      </c>
      <c r="I26" s="207">
        <f t="shared" si="7"/>
        <v>-5952.3809523809523</v>
      </c>
      <c r="J26" s="130">
        <f t="shared" si="8"/>
        <v>244</v>
      </c>
      <c r="K26" s="75">
        <f t="shared" si="9"/>
        <v>-3.1746031746031744E-2</v>
      </c>
      <c r="L26" s="137">
        <f t="shared" si="10"/>
        <v>-4761.9047619047615</v>
      </c>
      <c r="M26" s="37">
        <f t="shared" si="11"/>
        <v>243</v>
      </c>
      <c r="N26" s="75">
        <f t="shared" si="12"/>
        <v>-3.5714285714285712E-2</v>
      </c>
      <c r="O26" s="137">
        <f t="shared" si="13"/>
        <v>-5357.1428571428569</v>
      </c>
      <c r="Q26" s="284"/>
      <c r="R26" s="285"/>
      <c r="S26" s="286"/>
    </row>
    <row r="27" spans="1:19" ht="17.25" customHeight="1">
      <c r="A27" s="122" t="s">
        <v>112</v>
      </c>
      <c r="B27" s="123">
        <f t="shared" si="0"/>
        <v>230</v>
      </c>
      <c r="C27" s="72">
        <f t="shared" si="1"/>
        <v>-1.28755365E-2</v>
      </c>
      <c r="D27" s="123">
        <f t="shared" si="2"/>
        <v>232</v>
      </c>
      <c r="E27" s="72">
        <f t="shared" si="3"/>
        <v>8.6956521739130436E-3</v>
      </c>
      <c r="F27" s="140">
        <f t="shared" si="4"/>
        <v>1304.3478260869565</v>
      </c>
      <c r="G27" s="38">
        <f t="shared" si="5"/>
        <v>222</v>
      </c>
      <c r="H27" s="72">
        <f t="shared" si="6"/>
        <v>-3.4782608695652174E-2</v>
      </c>
      <c r="I27" s="201">
        <f t="shared" si="7"/>
        <v>-5217.391304347826</v>
      </c>
      <c r="J27" s="123">
        <f t="shared" si="8"/>
        <v>225</v>
      </c>
      <c r="K27" s="72">
        <f t="shared" si="9"/>
        <v>-2.1739130434782608E-2</v>
      </c>
      <c r="L27" s="140">
        <f t="shared" si="10"/>
        <v>-3260.869565217391</v>
      </c>
      <c r="M27" s="38">
        <f t="shared" si="11"/>
        <v>226</v>
      </c>
      <c r="N27" s="72">
        <f t="shared" si="12"/>
        <v>-1.7391304347826087E-2</v>
      </c>
      <c r="O27" s="140">
        <f t="shared" si="13"/>
        <v>-2608.695652173913</v>
      </c>
      <c r="Q27" s="287"/>
      <c r="R27" s="288"/>
      <c r="S27" s="289"/>
    </row>
    <row r="28" spans="1:19" ht="17.25" customHeight="1" thickBot="1">
      <c r="A28" s="124" t="s">
        <v>122</v>
      </c>
      <c r="B28" s="125">
        <f t="shared" si="0"/>
        <v>104</v>
      </c>
      <c r="C28" s="73">
        <f t="shared" si="1"/>
        <v>-9.5238094999999991E-3</v>
      </c>
      <c r="D28" s="125">
        <f t="shared" si="2"/>
        <v>103</v>
      </c>
      <c r="E28" s="73">
        <f t="shared" si="3"/>
        <v>-9.6153846153846159E-3</v>
      </c>
      <c r="F28" s="136">
        <f t="shared" si="4"/>
        <v>-1442.3076923076924</v>
      </c>
      <c r="G28" s="39">
        <f t="shared" si="5"/>
        <v>100</v>
      </c>
      <c r="H28" s="73">
        <f t="shared" si="6"/>
        <v>-3.8461538461538464E-2</v>
      </c>
      <c r="I28" s="202">
        <f t="shared" si="7"/>
        <v>-5769.2307692307695</v>
      </c>
      <c r="J28" s="125">
        <f t="shared" si="8"/>
        <v>102</v>
      </c>
      <c r="K28" s="73">
        <f t="shared" si="9"/>
        <v>-1.9230769230769232E-2</v>
      </c>
      <c r="L28" s="136">
        <f t="shared" si="10"/>
        <v>-2884.6153846153848</v>
      </c>
      <c r="M28" s="39">
        <f t="shared" si="11"/>
        <v>102</v>
      </c>
      <c r="N28" s="73">
        <f t="shared" si="12"/>
        <v>-1.9230769230769232E-2</v>
      </c>
      <c r="O28" s="136">
        <f t="shared" si="13"/>
        <v>-2884.6153846153848</v>
      </c>
      <c r="Q28" s="290"/>
      <c r="R28" s="291"/>
      <c r="S28" s="292"/>
    </row>
    <row r="29" spans="1:19" ht="17.25" customHeight="1" thickBot="1">
      <c r="A29" s="124" t="s">
        <v>202</v>
      </c>
      <c r="B29" s="125">
        <f t="shared" ref="B29:B36" si="14">IF(NOT(ISBLANK(_xlfn.IFNA(VLOOKUP($A29, $A$40:$O$199, 2, FALSE), ))), _xlfn.IFNA(VLOOKUP($A29, $A$40:$O$199, 2, FALSE), ), "")</f>
        <v>166</v>
      </c>
      <c r="C29" s="73">
        <f t="shared" ref="C29:C36" si="15">IF(NOT(ISBLANK(_xlfn.IFNA(VLOOKUP($A29, $A$40:$O$199, 3, FALSE), ))), _xlfn.IFNA(VLOOKUP($A29, $A$40:$O$199, 3, FALSE), ), "")</f>
        <v>-2.35294118E-2</v>
      </c>
      <c r="D29" s="125">
        <f t="shared" ref="D29:D36" si="16">IF(NOT(ISBLANK(_xlfn.IFNA(VLOOKUP($A29, $A$40:$O$199, 4, FALSE), ))), _xlfn.IFNA(VLOOKUP($A29, $A$40:$O$199, 4, FALSE), ), "")</f>
        <v>164</v>
      </c>
      <c r="E29" s="73">
        <f t="shared" ref="E29:E36" si="17">IF(NOT(ISBLANK(_xlfn.IFNA(VLOOKUP($A29, $A$40:$O$199, 5, FALSE), ))), _xlfn.IFNA(VLOOKUP($A29, $A$40:$O$199, 5, FALSE), ), "")</f>
        <v>-1.2048192771084338E-2</v>
      </c>
      <c r="F29" s="136">
        <f t="shared" ref="F29:F36" si="18">IF(NOT(ISBLANK(_xlfn.IFNA(VLOOKUP($A29, $A$40:$O$199, 6, FALSE), ))), _xlfn.IFNA(VLOOKUP($A29, $A$40:$O$199, 6, FALSE), ), "")</f>
        <v>-1807.2289156626507</v>
      </c>
      <c r="G29" s="39">
        <f t="shared" ref="G29:G36" si="19">IF(NOT(ISBLANK(_xlfn.IFNA(VLOOKUP($A29, $A$40:$O$199, 7, FALSE), ))), _xlfn.IFNA(VLOOKUP($A29, $A$40:$O$199, 7, FALSE), ), "")</f>
        <v>161</v>
      </c>
      <c r="H29" s="73">
        <f t="shared" ref="H29:H36" si="20">IF(NOT(ISBLANK(_xlfn.IFNA(VLOOKUP($A29, $A$40:$O$199, 8, FALSE), ))), _xlfn.IFNA(VLOOKUP($A29, $A$40:$O$199, 8, FALSE), ), "")</f>
        <v>-3.0120481927710843E-2</v>
      </c>
      <c r="I29" s="202">
        <f t="shared" ref="I29:I36" si="21">IF(NOT(ISBLANK(_xlfn.IFNA(VLOOKUP($A29, $A$40:$O$199, 9, FALSE), ))), _xlfn.IFNA(VLOOKUP($A29, $A$40:$O$199, 9, FALSE), ), "")</f>
        <v>-4518.0722891566265</v>
      </c>
      <c r="J29" s="125">
        <f t="shared" ref="J29:J36" si="22">IF(NOT(ISBLANK(_xlfn.IFNA(VLOOKUP($A29, $A$40:$O$199, 10, FALSE), ))), _xlfn.IFNA(VLOOKUP($A29, $A$40:$O$199, 10, FALSE), ), "")</f>
        <v>162</v>
      </c>
      <c r="K29" s="73">
        <f t="shared" ref="K29:K36" si="23">IF(NOT(ISBLANK(_xlfn.IFNA(VLOOKUP($A29, $A$40:$O$199, 11, FALSE), ))), _xlfn.IFNA(VLOOKUP($A29, $A$40:$O$199, 11, FALSE), ), "")</f>
        <v>-2.4096385542168676E-2</v>
      </c>
      <c r="L29" s="136">
        <f t="shared" ref="L29:L36" si="24">IF(NOT(ISBLANK(_xlfn.IFNA(VLOOKUP($A29, $A$40:$O$199, 12, FALSE), ))), _xlfn.IFNA(VLOOKUP($A29, $A$40:$O$199, 12, FALSE), ), "")</f>
        <v>-3614.4578313253014</v>
      </c>
      <c r="M29" s="39">
        <f t="shared" ref="M29:M36" si="25">IF(NOT(ISBLANK(_xlfn.IFNA(VLOOKUP($A29, $A$40:$O$199, 13, FALSE), ))), _xlfn.IFNA(VLOOKUP($A29, $A$40:$O$199, 13, FALSE), ), "")</f>
        <v>163</v>
      </c>
      <c r="N29" s="73">
        <f t="shared" ref="N29:N36" si="26">IF(NOT(ISBLANK(_xlfn.IFNA(VLOOKUP($A29, $A$40:$O$199, 14, FALSE), ))), _xlfn.IFNA(VLOOKUP($A29, $A$40:$O$199, 14, FALSE), ), "")</f>
        <v>-1.8072289156626505E-2</v>
      </c>
      <c r="O29" s="136">
        <f t="shared" ref="O29:O36" si="27">IF(NOT(ISBLANK(_xlfn.IFNA(VLOOKUP($A29, $A$40:$O$199, 15, FALSE), ))), _xlfn.IFNA(VLOOKUP($A29, $A$40:$O$199, 15, FALSE), ), "")</f>
        <v>-2710.8433734939758</v>
      </c>
      <c r="Q29" s="275"/>
      <c r="R29" s="275"/>
      <c r="S29" s="275"/>
    </row>
    <row r="30" spans="1:19" ht="17.25" customHeight="1" thickBot="1">
      <c r="A30" s="124" t="s">
        <v>238</v>
      </c>
      <c r="B30" s="125">
        <f t="shared" si="14"/>
        <v>242</v>
      </c>
      <c r="C30" s="73">
        <f t="shared" si="15"/>
        <v>-4.1000000000000003E-3</v>
      </c>
      <c r="D30" s="125">
        <f t="shared" si="16"/>
        <v>253</v>
      </c>
      <c r="E30" s="73">
        <f t="shared" si="17"/>
        <v>4.5454545454545456E-2</v>
      </c>
      <c r="F30" s="136">
        <f t="shared" si="18"/>
        <v>6818.181818181818</v>
      </c>
      <c r="G30" s="39">
        <f t="shared" si="19"/>
        <v>240</v>
      </c>
      <c r="H30" s="73">
        <f t="shared" si="20"/>
        <v>-8.2644628099173556E-3</v>
      </c>
      <c r="I30" s="202">
        <f t="shared" si="21"/>
        <v>-1239.6694214876034</v>
      </c>
      <c r="J30" s="125">
        <f t="shared" si="22"/>
        <v>241</v>
      </c>
      <c r="K30" s="73">
        <f t="shared" si="23"/>
        <v>-4.1322314049586778E-3</v>
      </c>
      <c r="L30" s="136">
        <f t="shared" si="24"/>
        <v>-619.83471074380168</v>
      </c>
      <c r="M30" s="39">
        <f t="shared" si="25"/>
        <v>243</v>
      </c>
      <c r="N30" s="73">
        <f t="shared" si="26"/>
        <v>4.1322314049586778E-3</v>
      </c>
      <c r="O30" s="136">
        <f t="shared" si="27"/>
        <v>619.83471074380168</v>
      </c>
      <c r="Q30" s="270"/>
      <c r="R30" s="270"/>
      <c r="S30" s="270"/>
    </row>
    <row r="31" spans="1:19" ht="17.25" customHeight="1" thickBot="1">
      <c r="A31" s="126" t="s">
        <v>210</v>
      </c>
      <c r="B31" s="127">
        <f t="shared" si="14"/>
        <v>165</v>
      </c>
      <c r="C31" s="74">
        <f t="shared" si="15"/>
        <v>-6.0240963999999998E-3</v>
      </c>
      <c r="D31" s="127">
        <f t="shared" si="16"/>
        <v>176</v>
      </c>
      <c r="E31" s="74">
        <f t="shared" si="17"/>
        <v>6.6666666666666666E-2</v>
      </c>
      <c r="F31" s="203">
        <f t="shared" si="18"/>
        <v>10000</v>
      </c>
      <c r="G31" s="44">
        <f t="shared" si="19"/>
        <v>171</v>
      </c>
      <c r="H31" s="74">
        <f t="shared" si="20"/>
        <v>3.6363636363636362E-2</v>
      </c>
      <c r="I31" s="204">
        <f t="shared" si="21"/>
        <v>5454.545454545454</v>
      </c>
      <c r="J31" s="127">
        <f t="shared" si="22"/>
        <v>173</v>
      </c>
      <c r="K31" s="74">
        <f t="shared" si="23"/>
        <v>4.8484848484848485E-2</v>
      </c>
      <c r="L31" s="203">
        <f t="shared" si="24"/>
        <v>7272.727272727273</v>
      </c>
      <c r="M31" s="44">
        <f t="shared" si="25"/>
        <v>171</v>
      </c>
      <c r="N31" s="74">
        <f t="shared" si="26"/>
        <v>3.6363636363636362E-2</v>
      </c>
      <c r="O31" s="203">
        <f t="shared" si="27"/>
        <v>5454.545454545454</v>
      </c>
      <c r="Q31" s="270"/>
      <c r="R31" s="270"/>
      <c r="S31" s="270"/>
    </row>
    <row r="32" spans="1:19" ht="17.25" customHeight="1" thickBot="1">
      <c r="A32" s="124" t="s">
        <v>212</v>
      </c>
      <c r="B32" s="128">
        <f t="shared" si="14"/>
        <v>127</v>
      </c>
      <c r="C32" s="76">
        <f t="shared" si="15"/>
        <v>0</v>
      </c>
      <c r="D32" s="128">
        <f t="shared" si="16"/>
        <v>125</v>
      </c>
      <c r="E32" s="76">
        <f t="shared" si="17"/>
        <v>-1.5748031496062992E-2</v>
      </c>
      <c r="F32" s="205">
        <f t="shared" si="18"/>
        <v>-2362.2047244094488</v>
      </c>
      <c r="G32" s="45">
        <f t="shared" si="19"/>
        <v>121</v>
      </c>
      <c r="H32" s="76">
        <f t="shared" si="20"/>
        <v>-4.7244094488188976E-2</v>
      </c>
      <c r="I32" s="206">
        <f t="shared" si="21"/>
        <v>-7086.6141732283468</v>
      </c>
      <c r="J32" s="128">
        <f t="shared" si="22"/>
        <v>122</v>
      </c>
      <c r="K32" s="76">
        <f t="shared" si="23"/>
        <v>-3.937007874015748E-2</v>
      </c>
      <c r="L32" s="205">
        <f t="shared" si="24"/>
        <v>-5905.5118110236217</v>
      </c>
      <c r="M32" s="45">
        <f t="shared" si="25"/>
        <v>123</v>
      </c>
      <c r="N32" s="76">
        <f t="shared" si="26"/>
        <v>-3.1496062992125984E-2</v>
      </c>
      <c r="O32" s="205">
        <f t="shared" si="27"/>
        <v>-4724.4094488188975</v>
      </c>
      <c r="Q32" s="275"/>
      <c r="R32" s="275"/>
      <c r="S32" s="275"/>
    </row>
    <row r="33" spans="1:19" ht="17.25" customHeight="1" thickBot="1">
      <c r="A33" s="124" t="s">
        <v>226</v>
      </c>
      <c r="B33" s="125">
        <f t="shared" si="14"/>
        <v>431</v>
      </c>
      <c r="C33" s="73">
        <f t="shared" si="15"/>
        <v>-4.6189376000000002E-3</v>
      </c>
      <c r="D33" s="125">
        <f t="shared" si="16"/>
        <v>468</v>
      </c>
      <c r="E33" s="73">
        <f t="shared" si="17"/>
        <v>8.584686774941995E-2</v>
      </c>
      <c r="F33" s="136">
        <f t="shared" si="18"/>
        <v>12877.030162412993</v>
      </c>
      <c r="G33" s="39">
        <f t="shared" si="19"/>
        <v>453</v>
      </c>
      <c r="H33" s="73">
        <f t="shared" si="20"/>
        <v>5.1044083526682132E-2</v>
      </c>
      <c r="I33" s="202">
        <f t="shared" si="21"/>
        <v>7656.6125290023201</v>
      </c>
      <c r="J33" s="125">
        <f t="shared" si="22"/>
        <v>461</v>
      </c>
      <c r="K33" s="73">
        <f t="shared" si="23"/>
        <v>6.9605568445475635E-2</v>
      </c>
      <c r="L33" s="136">
        <f t="shared" si="24"/>
        <v>10440.835266821345</v>
      </c>
      <c r="M33" s="39">
        <f t="shared" si="25"/>
        <v>446</v>
      </c>
      <c r="N33" s="73">
        <f t="shared" si="26"/>
        <v>3.4802784222737818E-2</v>
      </c>
      <c r="O33" s="136">
        <f t="shared" si="27"/>
        <v>5220.4176334106724</v>
      </c>
      <c r="Q33" s="275"/>
      <c r="R33" s="275"/>
      <c r="S33" s="275"/>
    </row>
    <row r="34" spans="1:19" ht="17.25" customHeight="1" thickBot="1">
      <c r="A34" s="124" t="s">
        <v>236</v>
      </c>
      <c r="B34" s="125">
        <f t="shared" si="14"/>
        <v>69.099999999999994</v>
      </c>
      <c r="C34" s="73">
        <f t="shared" si="15"/>
        <v>-4.2936288099999997E-2</v>
      </c>
      <c r="D34" s="125">
        <f t="shared" si="16"/>
        <v>74.3</v>
      </c>
      <c r="E34" s="73">
        <f t="shared" si="17"/>
        <v>7.5253256150506556E-2</v>
      </c>
      <c r="F34" s="136">
        <f t="shared" si="18"/>
        <v>11287.988422575983</v>
      </c>
      <c r="G34" s="39">
        <f t="shared" si="19"/>
        <v>70</v>
      </c>
      <c r="H34" s="73">
        <f t="shared" si="20"/>
        <v>1.3024602026049287E-2</v>
      </c>
      <c r="I34" s="202">
        <f t="shared" si="21"/>
        <v>1953.6903039073932</v>
      </c>
      <c r="J34" s="125">
        <f t="shared" si="22"/>
        <v>70.7</v>
      </c>
      <c r="K34" s="73">
        <f t="shared" si="23"/>
        <v>2.3154848046309823E-2</v>
      </c>
      <c r="L34" s="136">
        <f t="shared" si="24"/>
        <v>3473.2272069464734</v>
      </c>
      <c r="M34" s="39">
        <f t="shared" si="25"/>
        <v>70.7</v>
      </c>
      <c r="N34" s="73">
        <f t="shared" si="26"/>
        <v>2.3154848046309823E-2</v>
      </c>
      <c r="O34" s="136">
        <f t="shared" si="27"/>
        <v>3473.2272069464734</v>
      </c>
      <c r="Q34" s="275"/>
      <c r="R34" s="275"/>
      <c r="S34" s="275"/>
    </row>
    <row r="35" spans="1:19" ht="17.25" customHeight="1">
      <c r="A35" s="124"/>
      <c r="B35" s="125" t="str">
        <f t="shared" si="14"/>
        <v/>
      </c>
      <c r="C35" s="73" t="str">
        <f t="shared" si="15"/>
        <v/>
      </c>
      <c r="D35" s="125" t="str">
        <f t="shared" si="16"/>
        <v/>
      </c>
      <c r="E35" s="73" t="str">
        <f t="shared" si="17"/>
        <v/>
      </c>
      <c r="F35" s="136" t="str">
        <f t="shared" si="18"/>
        <v/>
      </c>
      <c r="G35" s="39" t="str">
        <f t="shared" si="19"/>
        <v/>
      </c>
      <c r="H35" s="73" t="str">
        <f t="shared" si="20"/>
        <v/>
      </c>
      <c r="I35" s="202" t="str">
        <f t="shared" si="21"/>
        <v/>
      </c>
      <c r="J35" s="125" t="str">
        <f t="shared" si="22"/>
        <v/>
      </c>
      <c r="K35" s="73" t="str">
        <f t="shared" si="23"/>
        <v/>
      </c>
      <c r="L35" s="136" t="str">
        <f t="shared" si="24"/>
        <v/>
      </c>
      <c r="M35" s="39" t="str">
        <f t="shared" si="25"/>
        <v/>
      </c>
      <c r="N35" s="73" t="str">
        <f t="shared" si="26"/>
        <v/>
      </c>
      <c r="O35" s="136" t="str">
        <f t="shared" si="27"/>
        <v/>
      </c>
      <c r="Q35" s="297"/>
      <c r="R35" s="298"/>
      <c r="S35" s="299"/>
    </row>
    <row r="36" spans="1:19" ht="17.25" customHeight="1" thickBot="1">
      <c r="A36" s="129"/>
      <c r="B36" s="130" t="str">
        <f t="shared" si="14"/>
        <v/>
      </c>
      <c r="C36" s="75" t="str">
        <f t="shared" si="15"/>
        <v/>
      </c>
      <c r="D36" s="130" t="str">
        <f t="shared" si="16"/>
        <v/>
      </c>
      <c r="E36" s="75" t="str">
        <f t="shared" si="17"/>
        <v/>
      </c>
      <c r="F36" s="137" t="str">
        <f t="shared" si="18"/>
        <v/>
      </c>
      <c r="G36" s="37" t="str">
        <f t="shared" si="19"/>
        <v/>
      </c>
      <c r="H36" s="75" t="str">
        <f t="shared" si="20"/>
        <v/>
      </c>
      <c r="I36" s="207" t="str">
        <f t="shared" si="21"/>
        <v/>
      </c>
      <c r="J36" s="130" t="str">
        <f t="shared" si="22"/>
        <v/>
      </c>
      <c r="K36" s="75" t="str">
        <f t="shared" si="23"/>
        <v/>
      </c>
      <c r="L36" s="137" t="str">
        <f t="shared" si="24"/>
        <v/>
      </c>
      <c r="M36" s="37" t="str">
        <f t="shared" si="25"/>
        <v/>
      </c>
      <c r="N36" s="75" t="str">
        <f t="shared" si="26"/>
        <v/>
      </c>
      <c r="O36" s="137" t="str">
        <f t="shared" si="27"/>
        <v/>
      </c>
      <c r="Q36" s="300"/>
      <c r="R36" s="301"/>
      <c r="S36" s="302"/>
    </row>
    <row r="37" spans="1:19" ht="17.25" customHeight="1" thickBot="1">
      <c r="A37" s="131" t="s">
        <v>42</v>
      </c>
      <c r="B37" s="308">
        <v>150000</v>
      </c>
      <c r="C37" s="309"/>
      <c r="D37" s="131" t="s">
        <v>43</v>
      </c>
      <c r="E37" s="236">
        <f>IF(COUNT(E17:E36), SUM(E17:E36) / COUNT(E17:E36), 0)</f>
        <v>3.4854424221288559E-2</v>
      </c>
      <c r="F37" s="208">
        <f>SUM(F17:F36)</f>
        <v>94106.94539747911</v>
      </c>
      <c r="G37" s="131" t="s">
        <v>43</v>
      </c>
      <c r="H37" s="236">
        <f>IF(COUNT(H17:H36), SUM(H17:H36) / COUNT(H17:H36), 0)</f>
        <v>-2.173247304215759E-3</v>
      </c>
      <c r="I37" s="208">
        <f>SUM(I17:I36)</f>
        <v>-5867.7677213825473</v>
      </c>
      <c r="J37" s="131" t="s">
        <v>43</v>
      </c>
      <c r="K37" s="236">
        <f>IF(COUNT(K17:K36), SUM(K17:K36) / COUNT(K17:K36), 0)</f>
        <v>6.6162774762648282E-3</v>
      </c>
      <c r="L37" s="208">
        <f>SUM(L17:L36)</f>
        <v>17863.949185915033</v>
      </c>
      <c r="M37" s="131" t="s">
        <v>43</v>
      </c>
      <c r="N37" s="236">
        <f>IF(COUNT(N17:N36), SUM(N17:N36) / COUNT(N17:N36), 0)</f>
        <v>3.8008968448410355E-3</v>
      </c>
      <c r="O37" s="208">
        <f>SUM(O17:O36)</f>
        <v>10262.421481070794</v>
      </c>
      <c r="Q37" s="303"/>
      <c r="R37" s="304"/>
      <c r="S37" s="305"/>
    </row>
    <row r="38" spans="1:19" ht="17.25" customHeight="1"/>
    <row r="39" spans="1:19" ht="17.25" customHeight="1" thickBot="1"/>
    <row r="40" spans="1:19" ht="17.25" customHeight="1" thickBot="1">
      <c r="A40" s="249" t="s">
        <v>44</v>
      </c>
      <c r="B40" s="250"/>
      <c r="C40" s="250"/>
      <c r="D40" s="250"/>
      <c r="E40" s="250"/>
      <c r="F40" s="250"/>
      <c r="G40" s="250"/>
      <c r="H40" s="250"/>
      <c r="I40" s="250"/>
      <c r="J40" s="250"/>
      <c r="K40" s="250"/>
      <c r="L40" s="250"/>
      <c r="M40" s="250"/>
      <c r="N40" s="250"/>
      <c r="O40" s="251"/>
      <c r="Q40" s="270"/>
      <c r="R40" s="270"/>
      <c r="S40" s="270"/>
    </row>
    <row r="41" spans="1:19" ht="17.25" customHeight="1" thickBot="1">
      <c r="A41" s="233" t="s">
        <v>298</v>
      </c>
      <c r="B41" s="249" t="s">
        <v>36</v>
      </c>
      <c r="C41" s="251"/>
      <c r="D41" s="249" t="s">
        <v>58</v>
      </c>
      <c r="E41" s="250"/>
      <c r="F41" s="251"/>
      <c r="G41" s="276">
        <f>_xlfn.IFNA(VLOOKUP(B41, 현재가테이블!$B$2:$D$200, 2, FALSE), "-")</f>
        <v>60874000</v>
      </c>
      <c r="H41" s="277"/>
      <c r="I41" s="278"/>
      <c r="J41" s="249" t="s">
        <v>59</v>
      </c>
      <c r="K41" s="250"/>
      <c r="L41" s="251"/>
      <c r="M41" s="279">
        <f>_xlfn.IFNA(VLOOKUP(B41, 현재가테이블!$B$2:$D$200, 3, FALSE), "-")</f>
        <v>-1.4936000099999999E-2</v>
      </c>
      <c r="N41" s="280"/>
      <c r="O41" s="281"/>
      <c r="Q41" s="270"/>
      <c r="R41" s="270"/>
      <c r="S41" s="270"/>
    </row>
    <row r="42" spans="1:19" ht="17.25" customHeight="1" thickBot="1">
      <c r="A42" s="310" t="s">
        <v>55</v>
      </c>
      <c r="B42" s="312" t="str">
        <f>TEXT($G$1, "[$-ko-KR]yyyy-mm-dd(ddd) ") &amp; "오전 00:00"</f>
        <v>2021-05-15(토) 오전 00:00</v>
      </c>
      <c r="C42" s="313"/>
      <c r="D42" s="249" t="str">
        <f>TEXT($G$1, "[$-ko-KR]yyyy-mm-dd(ddd) ") &amp; "오후 14:00"</f>
        <v>2021-05-15(토) 오후 14:00</v>
      </c>
      <c r="E42" s="250"/>
      <c r="F42" s="251"/>
      <c r="G42" s="249" t="str">
        <f>TEXT($G$1, "[$-ko-KR]yyyy-mm-dd(ddd) ") &amp; "오후 19:00"</f>
        <v>2021-05-15(토) 오후 19:00</v>
      </c>
      <c r="H42" s="250"/>
      <c r="I42" s="251"/>
      <c r="J42" s="249" t="str">
        <f>TEXT($G$1, "[$-ko-KR]yyyy-mm-dd(ddd) ") &amp; "오후 21:00"</f>
        <v>2021-05-15(토) 오후 21:00</v>
      </c>
      <c r="K42" s="250"/>
      <c r="L42" s="251"/>
      <c r="M42" s="249" t="str">
        <f>TEXT($G$1+1, "[$-ko-KR]yyyy-mm-dd(ddd) ") &amp; "오전 00:00"</f>
        <v>2021-05-16(일) 오전 00:00</v>
      </c>
      <c r="N42" s="250"/>
      <c r="O42" s="251"/>
      <c r="Q42" s="270"/>
      <c r="R42" s="270"/>
      <c r="S42" s="270"/>
    </row>
    <row r="43" spans="1:19" ht="17.25" customHeight="1" thickBot="1">
      <c r="A43" s="311"/>
      <c r="B43" s="120" t="s">
        <v>58</v>
      </c>
      <c r="C43" s="121" t="s">
        <v>59</v>
      </c>
      <c r="D43" s="120" t="s">
        <v>58</v>
      </c>
      <c r="E43" s="121" t="s">
        <v>299</v>
      </c>
      <c r="F43" s="240" t="s">
        <v>300</v>
      </c>
      <c r="G43" s="233" t="s">
        <v>58</v>
      </c>
      <c r="H43" s="234" t="s">
        <v>299</v>
      </c>
      <c r="I43" s="235" t="s">
        <v>300</v>
      </c>
      <c r="J43" s="121" t="s">
        <v>58</v>
      </c>
      <c r="K43" s="121" t="s">
        <v>299</v>
      </c>
      <c r="L43" s="238" t="s">
        <v>300</v>
      </c>
      <c r="M43" s="120" t="s">
        <v>58</v>
      </c>
      <c r="N43" s="121" t="s">
        <v>299</v>
      </c>
      <c r="O43" s="239" t="s">
        <v>300</v>
      </c>
      <c r="Q43" s="275"/>
      <c r="R43" s="275"/>
      <c r="S43" s="275"/>
    </row>
    <row r="44" spans="1:19" ht="17.25" customHeight="1" thickBot="1">
      <c r="A44" s="122" t="s">
        <v>186</v>
      </c>
      <c r="B44" s="123">
        <v>23.4</v>
      </c>
      <c r="C44" s="72">
        <v>0.1090047393</v>
      </c>
      <c r="D44" s="123">
        <v>23</v>
      </c>
      <c r="E44" s="72">
        <f>IF(ISNUMBER(D44), (D44 - $B44) / $B44, "")</f>
        <v>-1.7094017094017033E-2</v>
      </c>
      <c r="F44" s="140">
        <f>IF(ISNUMBER(D44), $B64 * E44, "")</f>
        <v>-2564.1025641025549</v>
      </c>
      <c r="G44" s="38">
        <v>22.3</v>
      </c>
      <c r="H44" s="72">
        <f>IF(ISNUMBER(G44), (G44 - $B44) / $B44, "")</f>
        <v>-4.7008547008546918E-2</v>
      </c>
      <c r="I44" s="201">
        <f>IF(ISNUMBER(G44), $B64 * H44, "")</f>
        <v>-7051.2820512820381</v>
      </c>
      <c r="J44" s="123">
        <v>22.3</v>
      </c>
      <c r="K44" s="72">
        <f>IF(ISNUMBER(J44), (J44 - $B44) / $B44, "")</f>
        <v>-4.7008547008546918E-2</v>
      </c>
      <c r="L44" s="140">
        <f>IF(ISNUMBER(J44), $B64 * K44, "")</f>
        <v>-7051.2820512820381</v>
      </c>
      <c r="M44" s="38">
        <v>22.4</v>
      </c>
      <c r="N44" s="72">
        <f>IF(ISNUMBER(M44), (M44 - $B44) / $B44, "")</f>
        <v>-4.2735042735042736E-2</v>
      </c>
      <c r="O44" s="140">
        <f>IF(ISNUMBER(M44), $B64 * N44, "")</f>
        <v>-6410.2564102564102</v>
      </c>
      <c r="Q44" s="270"/>
      <c r="R44" s="270"/>
      <c r="S44" s="270"/>
    </row>
    <row r="45" spans="1:19" ht="17.25" customHeight="1" thickBot="1">
      <c r="A45" s="124" t="s">
        <v>126</v>
      </c>
      <c r="B45" s="125">
        <v>52</v>
      </c>
      <c r="C45" s="73">
        <v>5.9063136500000002E-2</v>
      </c>
      <c r="D45" s="125">
        <v>50.8</v>
      </c>
      <c r="E45" s="73">
        <f t="shared" ref="E45:E48" si="28">IF(ISNUMBER(D45), (D45 - $B45) / $B45, "")</f>
        <v>-2.307692307692313E-2</v>
      </c>
      <c r="F45" s="136">
        <f>IF(ISNUMBER(D45), $B64 * E45, "")</f>
        <v>-3461.5384615384696</v>
      </c>
      <c r="G45" s="39">
        <v>49</v>
      </c>
      <c r="H45" s="73">
        <f t="shared" ref="H45:H48" si="29">IF(ISNUMBER(G45), (G45 - $B45) / $B45, "")</f>
        <v>-5.7692307692307696E-2</v>
      </c>
      <c r="I45" s="202">
        <f>IF(ISNUMBER(G45), $B64 * H45, "")</f>
        <v>-8653.8461538461543</v>
      </c>
      <c r="J45" s="125">
        <v>49.7</v>
      </c>
      <c r="K45" s="73">
        <f t="shared" ref="K45:K48" si="30">IF(ISNUMBER(J45), (J45 - $B45) / $B45, "")</f>
        <v>-4.4230769230769178E-2</v>
      </c>
      <c r="L45" s="136">
        <f>IF(ISNUMBER(J45), $B64 * K45, "")</f>
        <v>-6634.6153846153766</v>
      </c>
      <c r="M45" s="39">
        <v>49.7</v>
      </c>
      <c r="N45" s="73">
        <f t="shared" ref="N45:N48" si="31">IF(ISNUMBER(M45), (M45 - $B45) / $B45, "")</f>
        <v>-4.4230769230769178E-2</v>
      </c>
      <c r="O45" s="136">
        <f>IF(ISNUMBER(M45), $B64 * N45, "")</f>
        <v>-6634.6153846153766</v>
      </c>
      <c r="Q45" s="270"/>
      <c r="R45" s="270"/>
      <c r="S45" s="270"/>
    </row>
    <row r="46" spans="1:19" ht="17.25" customHeight="1" thickBot="1">
      <c r="A46" s="124" t="s">
        <v>152</v>
      </c>
      <c r="B46" s="125">
        <v>39.9</v>
      </c>
      <c r="C46" s="73">
        <v>2.8350515499999999E-2</v>
      </c>
      <c r="D46" s="125">
        <v>39.200000000000003</v>
      </c>
      <c r="E46" s="73">
        <f t="shared" si="28"/>
        <v>-1.7543859649122702E-2</v>
      </c>
      <c r="F46" s="136">
        <f>IF(ISNUMBER(D46), $B64 * E46, "")</f>
        <v>-2631.5789473684054</v>
      </c>
      <c r="G46" s="39">
        <v>37.4</v>
      </c>
      <c r="H46" s="73">
        <f t="shared" si="29"/>
        <v>-6.2656641604010022E-2</v>
      </c>
      <c r="I46" s="202">
        <f>IF(ISNUMBER(G46), $B64 * H46, "")</f>
        <v>-9398.4962406015038</v>
      </c>
      <c r="J46" s="125">
        <v>37.6</v>
      </c>
      <c r="K46" s="73">
        <f t="shared" si="30"/>
        <v>-5.764411027568915E-2</v>
      </c>
      <c r="L46" s="136">
        <f>IF(ISNUMBER(J46), $B64 * K46, "")</f>
        <v>-8646.6165413533727</v>
      </c>
      <c r="M46" s="39">
        <v>37.9</v>
      </c>
      <c r="N46" s="73">
        <f t="shared" si="31"/>
        <v>-5.0125313283208024E-2</v>
      </c>
      <c r="O46" s="136">
        <f>IF(ISNUMBER(M46), $B64 * N46, "")</f>
        <v>-7518.7969924812032</v>
      </c>
      <c r="Q46" s="275"/>
      <c r="R46" s="275"/>
      <c r="S46" s="275"/>
    </row>
    <row r="47" spans="1:19" ht="17.25" customHeight="1" thickBot="1">
      <c r="A47" s="124" t="s">
        <v>220</v>
      </c>
      <c r="B47" s="125">
        <v>17.899999999999999</v>
      </c>
      <c r="C47" s="73">
        <v>2.2857142899999999E-2</v>
      </c>
      <c r="D47" s="125">
        <v>18.7</v>
      </c>
      <c r="E47" s="73">
        <f t="shared" si="28"/>
        <v>4.4692737430167641E-2</v>
      </c>
      <c r="F47" s="136">
        <f>IF(ISNUMBER(D47), $B64 * E47, "")</f>
        <v>6703.9106145251462</v>
      </c>
      <c r="G47" s="39">
        <v>18.3</v>
      </c>
      <c r="H47" s="73">
        <f t="shared" si="29"/>
        <v>2.2346368715083921E-2</v>
      </c>
      <c r="I47" s="202">
        <f>IF(ISNUMBER(G47), $B64 * H47, "")</f>
        <v>3351.9553072625881</v>
      </c>
      <c r="J47" s="125">
        <v>18.7</v>
      </c>
      <c r="K47" s="73">
        <f t="shared" si="30"/>
        <v>4.4692737430167641E-2</v>
      </c>
      <c r="L47" s="136">
        <f>IF(ISNUMBER(J47), $B64 * K47, "")</f>
        <v>6703.9106145251462</v>
      </c>
      <c r="M47" s="39">
        <v>18.399999999999999</v>
      </c>
      <c r="N47" s="73">
        <f t="shared" si="31"/>
        <v>2.793296089385475E-2</v>
      </c>
      <c r="O47" s="136">
        <f>IF(ISNUMBER(M47), $B64 * N47, "")</f>
        <v>4189.9441340782123</v>
      </c>
      <c r="Q47" s="275"/>
      <c r="R47" s="275"/>
      <c r="S47" s="275"/>
    </row>
    <row r="48" spans="1:19" ht="17.25" customHeight="1" thickBot="1">
      <c r="A48" s="126" t="s">
        <v>222</v>
      </c>
      <c r="B48" s="127">
        <v>16.100000000000001</v>
      </c>
      <c r="C48" s="74">
        <v>1.2578616399999999E-2</v>
      </c>
      <c r="D48" s="127">
        <v>16</v>
      </c>
      <c r="E48" s="74">
        <f t="shared" si="28"/>
        <v>-6.2111801242236905E-3</v>
      </c>
      <c r="F48" s="203">
        <f>IF(ISNUMBER(D48), $B64 * E48, "")</f>
        <v>-931.67701863355353</v>
      </c>
      <c r="G48" s="44">
        <v>15.7</v>
      </c>
      <c r="H48" s="74">
        <f t="shared" si="29"/>
        <v>-2.484472049689454E-2</v>
      </c>
      <c r="I48" s="204">
        <f>IF(ISNUMBER(G48), $B64 * H48, "")</f>
        <v>-3726.7080745341809</v>
      </c>
      <c r="J48" s="127">
        <v>15.7</v>
      </c>
      <c r="K48" s="74">
        <f t="shared" si="30"/>
        <v>-2.484472049689454E-2</v>
      </c>
      <c r="L48" s="203">
        <f>IF(ISNUMBER(J48), $B64 * K48, "")</f>
        <v>-3726.7080745341809</v>
      </c>
      <c r="M48" s="44">
        <v>15.7</v>
      </c>
      <c r="N48" s="74">
        <f t="shared" si="31"/>
        <v>-2.484472049689454E-2</v>
      </c>
      <c r="O48" s="203">
        <f>IF(ISNUMBER(M48), $B64 * N48, "")</f>
        <v>-3726.7080745341809</v>
      </c>
      <c r="Q48" s="275"/>
      <c r="R48" s="275"/>
      <c r="S48" s="275"/>
    </row>
    <row r="49" spans="1:19" ht="17.25" customHeight="1" thickBot="1">
      <c r="A49" s="124" t="s">
        <v>65</v>
      </c>
      <c r="B49" s="128">
        <v>64.400000000000006</v>
      </c>
      <c r="C49" s="76">
        <v>1.0989011E-2</v>
      </c>
      <c r="D49" s="128">
        <v>63.8</v>
      </c>
      <c r="E49" s="76">
        <f>IF(ISNUMBER(D49), (D49 - $B49) / $B49, "")</f>
        <v>-9.3167701863355358E-3</v>
      </c>
      <c r="F49" s="205">
        <f>IF(ISNUMBER(D49), $B64 * E49, "")</f>
        <v>-1397.5155279503304</v>
      </c>
      <c r="G49" s="45">
        <v>61.1</v>
      </c>
      <c r="H49" s="76">
        <f>IF(ISNUMBER(G49), (G49 - $B49) / $B49, "")</f>
        <v>-5.1242236024844783E-2</v>
      </c>
      <c r="I49" s="206">
        <f>IF(ISNUMBER(G49), $B64 * H49, "")</f>
        <v>-7686.3354037267172</v>
      </c>
      <c r="J49" s="128">
        <v>61.4</v>
      </c>
      <c r="K49" s="76">
        <f>IF(ISNUMBER(J49), (J49 - $B49) / $B49, "")</f>
        <v>-4.6583850931677127E-2</v>
      </c>
      <c r="L49" s="205">
        <f>IF(ISNUMBER(J49), $B64 * K49, "")</f>
        <v>-6987.5776397515692</v>
      </c>
      <c r="M49" s="45">
        <v>61.6</v>
      </c>
      <c r="N49" s="76">
        <f>IF(ISNUMBER(M49), (M49 - $B49) / $B49, "")</f>
        <v>-4.3478260869565279E-2</v>
      </c>
      <c r="O49" s="205">
        <f>IF(ISNUMBER(M49), $B64 * N49, "")</f>
        <v>-6521.7391304347921</v>
      </c>
      <c r="Q49" s="275"/>
      <c r="R49" s="275"/>
      <c r="S49" s="275"/>
    </row>
    <row r="50" spans="1:19" ht="17.25" customHeight="1" thickBot="1">
      <c r="A50" s="124" t="s">
        <v>198</v>
      </c>
      <c r="B50" s="125">
        <v>24.1</v>
      </c>
      <c r="C50" s="73">
        <v>8.3682007999999995E-3</v>
      </c>
      <c r="D50" s="125">
        <v>24</v>
      </c>
      <c r="E50" s="73">
        <f t="shared" ref="E50:E53" si="32">IF(ISNUMBER(D50), (D50 - $B50) / $B50, "")</f>
        <v>-4.1493775933610548E-3</v>
      </c>
      <c r="F50" s="136">
        <f>IF(ISNUMBER(D50), $B64 * E50, "")</f>
        <v>-622.40663900415825</v>
      </c>
      <c r="G50" s="39">
        <v>23</v>
      </c>
      <c r="H50" s="73">
        <f t="shared" ref="H50:H53" si="33">IF(ISNUMBER(G50), (G50 - $B50) / $B50, "")</f>
        <v>-4.5643153526971007E-2</v>
      </c>
      <c r="I50" s="202">
        <f>IF(ISNUMBER(G50), $B64 * H50, "")</f>
        <v>-6846.4730290456509</v>
      </c>
      <c r="J50" s="125">
        <v>23.2</v>
      </c>
      <c r="K50" s="73">
        <f t="shared" ref="K50:K53" si="34">IF(ISNUMBER(J50), (J50 - $B50) / $B50, "")</f>
        <v>-3.7344398340249052E-2</v>
      </c>
      <c r="L50" s="136">
        <f>IF(ISNUMBER(J50), $B64 * K50, "")</f>
        <v>-5601.6597510373576</v>
      </c>
      <c r="M50" s="39">
        <v>23.4</v>
      </c>
      <c r="N50" s="73">
        <f t="shared" ref="N50:N53" si="35">IF(ISNUMBER(M50), (M50 - $B50) / $B50, "")</f>
        <v>-2.9045643153527086E-2</v>
      </c>
      <c r="O50" s="136">
        <f>IF(ISNUMBER(M50), $B64 * N50, "")</f>
        <v>-4356.8464730290625</v>
      </c>
      <c r="Q50" s="275"/>
      <c r="R50" s="275"/>
      <c r="S50" s="275"/>
    </row>
    <row r="51" spans="1:19" ht="17.25" customHeight="1" thickBot="1">
      <c r="A51" s="124" t="s">
        <v>228</v>
      </c>
      <c r="B51" s="125">
        <v>16</v>
      </c>
      <c r="C51" s="73">
        <v>6.2893081999999996E-3</v>
      </c>
      <c r="D51" s="125">
        <v>15.9</v>
      </c>
      <c r="E51" s="73">
        <f t="shared" si="32"/>
        <v>-6.2499999999999778E-3</v>
      </c>
      <c r="F51" s="136">
        <f>IF(ISNUMBER(D51), $B64 * E51, "")</f>
        <v>-937.4999999999967</v>
      </c>
      <c r="G51" s="39">
        <v>15.3</v>
      </c>
      <c r="H51" s="73">
        <f t="shared" si="33"/>
        <v>-4.3749999999999956E-2</v>
      </c>
      <c r="I51" s="202">
        <f>IF(ISNUMBER(G51), $B64 * H51, "")</f>
        <v>-6562.4999999999936</v>
      </c>
      <c r="J51" s="125">
        <v>15.6</v>
      </c>
      <c r="K51" s="73">
        <f t="shared" si="34"/>
        <v>-2.5000000000000022E-2</v>
      </c>
      <c r="L51" s="136">
        <f>IF(ISNUMBER(J51), $B64 * K51, "")</f>
        <v>-3750.0000000000032</v>
      </c>
      <c r="M51" s="39">
        <v>15.4</v>
      </c>
      <c r="N51" s="73">
        <f t="shared" si="35"/>
        <v>-3.7499999999999978E-2</v>
      </c>
      <c r="O51" s="136">
        <f>IF(ISNUMBER(M51), $B64 * N51, "")</f>
        <v>-5624.9999999999964</v>
      </c>
      <c r="Q51" s="275"/>
      <c r="R51" s="275"/>
      <c r="S51" s="275"/>
    </row>
    <row r="52" spans="1:19" ht="17.25" customHeight="1" thickBot="1">
      <c r="A52" s="124" t="s">
        <v>196</v>
      </c>
      <c r="B52" s="125">
        <v>17.8</v>
      </c>
      <c r="C52" s="73">
        <v>5.6497175E-3</v>
      </c>
      <c r="D52" s="125">
        <v>18.2</v>
      </c>
      <c r="E52" s="73">
        <f t="shared" si="32"/>
        <v>2.247191011235947E-2</v>
      </c>
      <c r="F52" s="136">
        <f>IF(ISNUMBER(D52), $B64 * E52, "")</f>
        <v>3370.7865168539206</v>
      </c>
      <c r="G52" s="39">
        <v>17.399999999999999</v>
      </c>
      <c r="H52" s="73">
        <f t="shared" si="33"/>
        <v>-2.2471910112359668E-2</v>
      </c>
      <c r="I52" s="202">
        <f>IF(ISNUMBER(G52), $B64 * H52, "")</f>
        <v>-3370.7865168539502</v>
      </c>
      <c r="J52" s="125">
        <v>17.5</v>
      </c>
      <c r="K52" s="73">
        <f t="shared" si="34"/>
        <v>-1.6853932584269701E-2</v>
      </c>
      <c r="L52" s="136">
        <f>IF(ISNUMBER(J52), $B64 * K52, "")</f>
        <v>-2528.0898876404549</v>
      </c>
      <c r="M52" s="39">
        <v>17.600000000000001</v>
      </c>
      <c r="N52" s="73">
        <f t="shared" si="35"/>
        <v>-1.1235955056179735E-2</v>
      </c>
      <c r="O52" s="136">
        <f>IF(ISNUMBER(M52), $B64 * N52, "")</f>
        <v>-1685.3932584269603</v>
      </c>
      <c r="Q52" s="33"/>
      <c r="R52" s="33"/>
    </row>
    <row r="53" spans="1:19" ht="17.25" customHeight="1" thickBot="1">
      <c r="A53" s="129" t="s">
        <v>154</v>
      </c>
      <c r="B53" s="130">
        <v>17.8</v>
      </c>
      <c r="C53" s="75">
        <v>5.6497175E-3</v>
      </c>
      <c r="D53" s="130">
        <v>17.899999999999999</v>
      </c>
      <c r="E53" s="75">
        <f t="shared" si="32"/>
        <v>5.6179775280897678E-3</v>
      </c>
      <c r="F53" s="137">
        <f>IF(ISNUMBER(D53), $B64 * E53, "")</f>
        <v>842.69662921346514</v>
      </c>
      <c r="G53" s="37">
        <v>17.399999999999999</v>
      </c>
      <c r="H53" s="75">
        <f t="shared" si="33"/>
        <v>-2.2471910112359668E-2</v>
      </c>
      <c r="I53" s="207">
        <f>IF(ISNUMBER(G53), $B64 * H53, "")</f>
        <v>-3370.7865168539502</v>
      </c>
      <c r="J53" s="130">
        <v>17.5</v>
      </c>
      <c r="K53" s="75">
        <f t="shared" si="34"/>
        <v>-1.6853932584269701E-2</v>
      </c>
      <c r="L53" s="137">
        <f>IF(ISNUMBER(J53), $B64 * K53, "")</f>
        <v>-2528.0898876404549</v>
      </c>
      <c r="M53" s="37">
        <v>17.600000000000001</v>
      </c>
      <c r="N53" s="75">
        <f t="shared" si="35"/>
        <v>-1.1235955056179735E-2</v>
      </c>
      <c r="O53" s="137">
        <f>IF(ISNUMBER(M53), $B64 * N53, "")</f>
        <v>-1685.3932584269603</v>
      </c>
      <c r="Q53" s="284"/>
      <c r="R53" s="285"/>
      <c r="S53" s="286"/>
    </row>
    <row r="54" spans="1:19" ht="17.25" customHeight="1">
      <c r="A54" s="122" t="s">
        <v>218</v>
      </c>
      <c r="B54" s="123">
        <v>23.6</v>
      </c>
      <c r="C54" s="72">
        <v>4.2553191000000001E-3</v>
      </c>
      <c r="D54" s="123">
        <v>23.6</v>
      </c>
      <c r="E54" s="72">
        <f>IF(ISNUMBER(D54), (D54 - $B54) / $B54, "")</f>
        <v>0</v>
      </c>
      <c r="F54" s="140">
        <f>IF(ISNUMBER(D54), $B64 * E54, "")</f>
        <v>0</v>
      </c>
      <c r="G54" s="38">
        <v>22.7</v>
      </c>
      <c r="H54" s="72">
        <f>IF(ISNUMBER(G54), (G54 - $B54) / $B54, "")</f>
        <v>-3.8135593220339069E-2</v>
      </c>
      <c r="I54" s="201">
        <f>IF(ISNUMBER(G54), $B64 * H54, "")</f>
        <v>-5720.3389830508604</v>
      </c>
      <c r="J54" s="123">
        <v>22.9</v>
      </c>
      <c r="K54" s="72">
        <f>IF(ISNUMBER(J54), (J54 - $B54) / $B54, "")</f>
        <v>-2.9661016949152661E-2</v>
      </c>
      <c r="L54" s="140">
        <f>IF(ISNUMBER(J54), $B64 * K54, "")</f>
        <v>-4449.152542372899</v>
      </c>
      <c r="M54" s="38">
        <v>23</v>
      </c>
      <c r="N54" s="72">
        <f>IF(ISNUMBER(M54), (M54 - $B54) / $B54, "")</f>
        <v>-2.5423728813559379E-2</v>
      </c>
      <c r="O54" s="140">
        <f>IF(ISNUMBER(M54), $B64 * N54, "")</f>
        <v>-3813.5593220339069</v>
      </c>
      <c r="Q54" s="287"/>
      <c r="R54" s="288"/>
      <c r="S54" s="289"/>
    </row>
    <row r="55" spans="1:19" ht="17.25" customHeight="1" thickBot="1">
      <c r="A55" s="124" t="s">
        <v>266</v>
      </c>
      <c r="B55" s="125">
        <v>85.5</v>
      </c>
      <c r="C55" s="73">
        <v>1.1709602E-3</v>
      </c>
      <c r="D55" s="125">
        <v>89.5</v>
      </c>
      <c r="E55" s="73">
        <f t="shared" ref="E55:E58" si="36">IF(ISNUMBER(D55), (D55 - $B55) / $B55, "")</f>
        <v>4.6783625730994149E-2</v>
      </c>
      <c r="F55" s="136">
        <f>IF(ISNUMBER(D55), $B64 * E55, "")</f>
        <v>7017.5438596491222</v>
      </c>
      <c r="G55" s="39">
        <v>86.9</v>
      </c>
      <c r="H55" s="73">
        <f t="shared" ref="H55:H58" si="37">IF(ISNUMBER(G55), (G55 - $B55) / $B55, "")</f>
        <v>1.637426900584802E-2</v>
      </c>
      <c r="I55" s="202">
        <f>IF(ISNUMBER(G55), $B64 * H55, "")</f>
        <v>2456.1403508772032</v>
      </c>
      <c r="J55" s="125">
        <v>88</v>
      </c>
      <c r="K55" s="73">
        <f t="shared" ref="K55:K58" si="38">IF(ISNUMBER(J55), (J55 - $B55) / $B55, "")</f>
        <v>2.9239766081871343E-2</v>
      </c>
      <c r="L55" s="136">
        <f>IF(ISNUMBER(J55), $B64 * K55, "")</f>
        <v>4385.9649122807014</v>
      </c>
      <c r="M55" s="39">
        <v>88</v>
      </c>
      <c r="N55" s="73">
        <f t="shared" ref="N55:N58" si="39">IF(ISNUMBER(M55), (M55 - $B55) / $B55, "")</f>
        <v>2.9239766081871343E-2</v>
      </c>
      <c r="O55" s="136">
        <f>IF(ISNUMBER(M55), $B64 * N55, "")</f>
        <v>4385.9649122807014</v>
      </c>
      <c r="Q55" s="290"/>
      <c r="R55" s="291"/>
      <c r="S55" s="292"/>
    </row>
    <row r="56" spans="1:19" ht="17.25" customHeight="1" thickBot="1">
      <c r="A56" s="124" t="s">
        <v>100</v>
      </c>
      <c r="B56" s="125">
        <v>7.53</v>
      </c>
      <c r="C56" s="73">
        <v>-1.3262599000000001E-3</v>
      </c>
      <c r="D56" s="125">
        <v>7.41</v>
      </c>
      <c r="E56" s="73">
        <f t="shared" si="36"/>
        <v>-1.5936254980079695E-2</v>
      </c>
      <c r="F56" s="136">
        <f>IF(ISNUMBER(D56), $B64 * E56, "")</f>
        <v>-2390.4382470119544</v>
      </c>
      <c r="G56" s="39">
        <v>7.24</v>
      </c>
      <c r="H56" s="73">
        <f t="shared" si="37"/>
        <v>-3.851261620185923E-2</v>
      </c>
      <c r="I56" s="202">
        <f>IF(ISNUMBER(G56), $B64 * H56, "")</f>
        <v>-5776.8924302788846</v>
      </c>
      <c r="J56" s="125">
        <v>7.28</v>
      </c>
      <c r="K56" s="73">
        <f t="shared" si="38"/>
        <v>-3.3200531208499334E-2</v>
      </c>
      <c r="L56" s="136">
        <f>IF(ISNUMBER(J56), $B64 * K56, "")</f>
        <v>-4980.0796812749004</v>
      </c>
      <c r="M56" s="39">
        <v>7.38</v>
      </c>
      <c r="N56" s="73">
        <f t="shared" si="39"/>
        <v>-1.992031872509965E-2</v>
      </c>
      <c r="O56" s="136">
        <f>IF(ISNUMBER(M56), $B64 * N56, "")</f>
        <v>-2988.0478087649476</v>
      </c>
      <c r="Q56" s="275"/>
      <c r="R56" s="275"/>
      <c r="S56" s="275"/>
    </row>
    <row r="57" spans="1:19" ht="17.25" customHeight="1" thickBot="1">
      <c r="A57" s="124" t="s">
        <v>254</v>
      </c>
      <c r="B57" s="125">
        <v>72.900000000000006</v>
      </c>
      <c r="C57" s="73">
        <v>-4.0983607000000003E-3</v>
      </c>
      <c r="D57" s="125">
        <v>74.7</v>
      </c>
      <c r="E57" s="73">
        <f t="shared" si="36"/>
        <v>2.4691358024691318E-2</v>
      </c>
      <c r="F57" s="136">
        <f>IF(ISNUMBER(D57), $B64 * E57, "")</f>
        <v>3703.7037037036976</v>
      </c>
      <c r="G57" s="39">
        <v>71.099999999999994</v>
      </c>
      <c r="H57" s="73">
        <f t="shared" si="37"/>
        <v>-2.4691358024691513E-2</v>
      </c>
      <c r="I57" s="202">
        <f>IF(ISNUMBER(G57), $B64 * H57, "")</f>
        <v>-3703.7037037037271</v>
      </c>
      <c r="J57" s="125">
        <v>71.8</v>
      </c>
      <c r="K57" s="73">
        <f t="shared" si="38"/>
        <v>-1.5089163237311501E-2</v>
      </c>
      <c r="L57" s="136">
        <f>IF(ISNUMBER(J57), $B64 * K57, "")</f>
        <v>-2263.3744855967252</v>
      </c>
      <c r="M57" s="39">
        <v>71.7</v>
      </c>
      <c r="N57" s="73">
        <f t="shared" si="39"/>
        <v>-1.6460905349794275E-2</v>
      </c>
      <c r="O57" s="136">
        <f>IF(ISNUMBER(M57), $B64 * N57, "")</f>
        <v>-2469.1358024691413</v>
      </c>
      <c r="Q57" s="270"/>
      <c r="R57" s="270"/>
      <c r="S57" s="270"/>
    </row>
    <row r="58" spans="1:19" ht="17.25" customHeight="1" thickBot="1">
      <c r="A58" s="126" t="s">
        <v>214</v>
      </c>
      <c r="B58" s="127">
        <v>19.5</v>
      </c>
      <c r="C58" s="74">
        <v>-1.51515152E-2</v>
      </c>
      <c r="D58" s="127">
        <v>19.7</v>
      </c>
      <c r="E58" s="74">
        <f t="shared" si="36"/>
        <v>1.025641025641022E-2</v>
      </c>
      <c r="F58" s="203">
        <f>IF(ISNUMBER(D58), $B64 * E58, "")</f>
        <v>1538.4615384615331</v>
      </c>
      <c r="G58" s="44">
        <v>19</v>
      </c>
      <c r="H58" s="74">
        <f t="shared" si="37"/>
        <v>-2.564102564102564E-2</v>
      </c>
      <c r="I58" s="204">
        <f>IF(ISNUMBER(G58), $B64 * H58, "")</f>
        <v>-3846.1538461538462</v>
      </c>
      <c r="J58" s="127">
        <v>19.2</v>
      </c>
      <c r="K58" s="74">
        <f t="shared" si="38"/>
        <v>-1.5384615384615422E-2</v>
      </c>
      <c r="L58" s="203">
        <f>IF(ISNUMBER(J58), $B64 * K58, "")</f>
        <v>-2307.6923076923131</v>
      </c>
      <c r="M58" s="44">
        <v>19.100000000000001</v>
      </c>
      <c r="N58" s="74">
        <f t="shared" si="39"/>
        <v>-2.051282051282044E-2</v>
      </c>
      <c r="O58" s="203">
        <f>IF(ISNUMBER(M58), $B64 * N58, "")</f>
        <v>-3076.9230769230662</v>
      </c>
      <c r="Q58" s="270"/>
      <c r="R58" s="270"/>
      <c r="S58" s="270"/>
    </row>
    <row r="59" spans="1:19" ht="17.25" customHeight="1" thickBot="1">
      <c r="A59" s="124" t="s">
        <v>72</v>
      </c>
      <c r="B59" s="128">
        <v>31.7</v>
      </c>
      <c r="C59" s="76">
        <v>-1.5527950299999999E-2</v>
      </c>
      <c r="D59" s="128">
        <v>32.1</v>
      </c>
      <c r="E59" s="76">
        <f>IF(ISNUMBER(D59), (D59 - $B59) / $B59, "")</f>
        <v>1.2618296529968522E-2</v>
      </c>
      <c r="F59" s="205">
        <f>IF(ISNUMBER(D59), $B64 * E59, "")</f>
        <v>1892.7444794952783</v>
      </c>
      <c r="G59" s="45">
        <v>30.6</v>
      </c>
      <c r="H59" s="76">
        <f>IF(ISNUMBER(G59), (G59 - $B59) / $B59, "")</f>
        <v>-3.4700315457413186E-2</v>
      </c>
      <c r="I59" s="206">
        <f>IF(ISNUMBER(G59), $B64 * H59, "")</f>
        <v>-5205.047318611978</v>
      </c>
      <c r="J59" s="128">
        <v>30.7</v>
      </c>
      <c r="K59" s="76">
        <f>IF(ISNUMBER(J59), (J59 - $B59) / $B59, "")</f>
        <v>-3.1545741324921134E-2</v>
      </c>
      <c r="L59" s="205">
        <f>IF(ISNUMBER(J59), $B64 * K59, "")</f>
        <v>-4731.8611987381701</v>
      </c>
      <c r="M59" s="45">
        <v>31.2</v>
      </c>
      <c r="N59" s="76">
        <f>IF(ISNUMBER(M59), (M59 - $B59) / $B59, "")</f>
        <v>-1.5772870662460567E-2</v>
      </c>
      <c r="O59" s="205">
        <f>IF(ISNUMBER(M59), $B64 * N59, "")</f>
        <v>-2365.930599369085</v>
      </c>
      <c r="Q59" s="275"/>
      <c r="R59" s="275"/>
      <c r="S59" s="275"/>
    </row>
    <row r="60" spans="1:19" ht="17.25" customHeight="1" thickBot="1">
      <c r="A60" s="124" t="s">
        <v>268</v>
      </c>
      <c r="B60" s="125">
        <v>79.5</v>
      </c>
      <c r="C60" s="73">
        <v>-2.0935960600000001E-2</v>
      </c>
      <c r="D60" s="125">
        <v>80.900000000000006</v>
      </c>
      <c r="E60" s="73">
        <f t="shared" ref="E60:E63" si="40">IF(ISNUMBER(D60), (D60 - $B60) / $B60, "")</f>
        <v>1.7610062893081833E-2</v>
      </c>
      <c r="F60" s="136">
        <f>IF(ISNUMBER(D60), $B64 * E60, "")</f>
        <v>2641.5094339622751</v>
      </c>
      <c r="G60" s="39">
        <v>77.900000000000006</v>
      </c>
      <c r="H60" s="73">
        <f t="shared" ref="H60:H63" si="41">IF(ISNUMBER(G60), (G60 - $B60) / $B60, "")</f>
        <v>-2.0125786163521942E-2</v>
      </c>
      <c r="I60" s="202">
        <f>IF(ISNUMBER(G60), $B64 * H60, "")</f>
        <v>-3018.8679245282915</v>
      </c>
      <c r="J60" s="125">
        <v>78.400000000000006</v>
      </c>
      <c r="K60" s="73">
        <f t="shared" ref="K60:K63" si="42">IF(ISNUMBER(J60), (J60 - $B60) / $B60, "")</f>
        <v>-1.3836477987421313E-2</v>
      </c>
      <c r="L60" s="136">
        <f>IF(ISNUMBER(J60), $B64 * K60, "")</f>
        <v>-2075.4716981131969</v>
      </c>
      <c r="M60" s="39">
        <v>79</v>
      </c>
      <c r="N60" s="73">
        <f t="shared" ref="N60:N63" si="43">IF(ISNUMBER(M60), (M60 - $B60) / $B60, "")</f>
        <v>-6.2893081761006293E-3</v>
      </c>
      <c r="O60" s="136">
        <f>IF(ISNUMBER(M60), $B64 * N60, "")</f>
        <v>-943.39622641509436</v>
      </c>
      <c r="Q60" s="275"/>
      <c r="R60" s="275"/>
      <c r="S60" s="275"/>
    </row>
    <row r="61" spans="1:19" ht="17.25" customHeight="1" thickBot="1">
      <c r="A61" s="124" t="s">
        <v>236</v>
      </c>
      <c r="B61" s="125">
        <v>69.099999999999994</v>
      </c>
      <c r="C61" s="73">
        <v>-4.2936288099999997E-2</v>
      </c>
      <c r="D61" s="125">
        <v>74.3</v>
      </c>
      <c r="E61" s="73">
        <f t="shared" si="40"/>
        <v>7.5253256150506556E-2</v>
      </c>
      <c r="F61" s="136">
        <f>IF(ISNUMBER(D61), $B64 * E61, "")</f>
        <v>11287.988422575983</v>
      </c>
      <c r="G61" s="39">
        <v>70</v>
      </c>
      <c r="H61" s="73">
        <f t="shared" si="41"/>
        <v>1.3024602026049287E-2</v>
      </c>
      <c r="I61" s="202">
        <f>IF(ISNUMBER(G61), $B64 * H61, "")</f>
        <v>1953.6903039073932</v>
      </c>
      <c r="J61" s="125">
        <v>70.7</v>
      </c>
      <c r="K61" s="73">
        <f t="shared" si="42"/>
        <v>2.3154848046309823E-2</v>
      </c>
      <c r="L61" s="136">
        <f>IF(ISNUMBER(J61), $B64 * K61, "")</f>
        <v>3473.2272069464734</v>
      </c>
      <c r="M61" s="39">
        <v>70.7</v>
      </c>
      <c r="N61" s="73">
        <f t="shared" si="43"/>
        <v>2.3154848046309823E-2</v>
      </c>
      <c r="O61" s="136">
        <f>IF(ISNUMBER(M61), $B64 * N61, "")</f>
        <v>3473.2272069464734</v>
      </c>
      <c r="Q61" s="275"/>
      <c r="R61" s="275"/>
      <c r="S61" s="275"/>
    </row>
    <row r="62" spans="1:19" ht="17.25" customHeight="1">
      <c r="A62" s="124" t="s">
        <v>172</v>
      </c>
      <c r="B62" s="125">
        <v>23</v>
      </c>
      <c r="C62" s="73">
        <v>-5.7377049200000002E-2</v>
      </c>
      <c r="D62" s="125">
        <v>22.9</v>
      </c>
      <c r="E62" s="73">
        <f t="shared" si="40"/>
        <v>-4.3478260869565834E-3</v>
      </c>
      <c r="F62" s="136">
        <f>IF(ISNUMBER(D62), $B64 * E62, "")</f>
        <v>-652.17391304348746</v>
      </c>
      <c r="G62" s="39">
        <v>22.4</v>
      </c>
      <c r="H62" s="73">
        <f t="shared" si="41"/>
        <v>-2.6086956521739191E-2</v>
      </c>
      <c r="I62" s="202">
        <f>IF(ISNUMBER(G62), $B64 * H62, "")</f>
        <v>-3913.0434782608786</v>
      </c>
      <c r="J62" s="125">
        <v>22.6</v>
      </c>
      <c r="K62" s="73">
        <f t="shared" si="42"/>
        <v>-1.7391304347826025E-2</v>
      </c>
      <c r="L62" s="136">
        <f>IF(ISNUMBER(J62), $B64 * K62, "")</f>
        <v>-2608.6956521739039</v>
      </c>
      <c r="M62" s="39">
        <v>22.5</v>
      </c>
      <c r="N62" s="73">
        <f t="shared" si="43"/>
        <v>-2.1739130434782608E-2</v>
      </c>
      <c r="O62" s="136">
        <f>IF(ISNUMBER(M62), $B64 * N62, "")</f>
        <v>-3260.869565217391</v>
      </c>
      <c r="Q62" s="297"/>
      <c r="R62" s="298"/>
      <c r="S62" s="299"/>
    </row>
    <row r="63" spans="1:19" ht="17.25" customHeight="1" thickBot="1">
      <c r="A63" s="129" t="s">
        <v>406</v>
      </c>
      <c r="B63" s="130">
        <v>242</v>
      </c>
      <c r="C63" s="75">
        <v>-4.1000000000000003E-3</v>
      </c>
      <c r="D63" s="130">
        <v>253</v>
      </c>
      <c r="E63" s="75">
        <f t="shared" si="40"/>
        <v>4.5454545454545456E-2</v>
      </c>
      <c r="F63" s="137">
        <f>IF(ISNUMBER(D63), $B64 * E63, "")</f>
        <v>6818.181818181818</v>
      </c>
      <c r="G63" s="37">
        <v>240</v>
      </c>
      <c r="H63" s="75">
        <f t="shared" si="41"/>
        <v>-8.2644628099173556E-3</v>
      </c>
      <c r="I63" s="207">
        <f>IF(ISNUMBER(G63), $B64 * H63, "")</f>
        <v>-1239.6694214876034</v>
      </c>
      <c r="J63" s="130">
        <v>241</v>
      </c>
      <c r="K63" s="75">
        <f t="shared" si="42"/>
        <v>-4.1322314049586778E-3</v>
      </c>
      <c r="L63" s="137">
        <f>IF(ISNUMBER(J63), $B64 * K63, "")</f>
        <v>-619.83471074380168</v>
      </c>
      <c r="M63" s="37">
        <v>243</v>
      </c>
      <c r="N63" s="75">
        <f t="shared" si="43"/>
        <v>4.1322314049586778E-3</v>
      </c>
      <c r="O63" s="137">
        <f>IF(ISNUMBER(M63), $B64 * N63, "")</f>
        <v>619.83471074380168</v>
      </c>
      <c r="Q63" s="300"/>
      <c r="R63" s="301"/>
      <c r="S63" s="302"/>
    </row>
    <row r="64" spans="1:19" ht="17.25" customHeight="1" thickBot="1">
      <c r="A64" s="131" t="s">
        <v>301</v>
      </c>
      <c r="B64" s="308">
        <f>$B$37</f>
        <v>150000</v>
      </c>
      <c r="C64" s="309"/>
      <c r="D64" s="131" t="s">
        <v>302</v>
      </c>
      <c r="E64" s="236">
        <f>IF(COUNT(E44:E63), SUM(E44:E63) / COUNT(E44:E63), 0)</f>
        <v>1.0076198565989777E-2</v>
      </c>
      <c r="F64" s="208">
        <f>SUM(F44:F63)</f>
        <v>30228.595697969329</v>
      </c>
      <c r="G64" s="131" t="s">
        <v>302</v>
      </c>
      <c r="H64" s="236">
        <f>IF(COUNT(H44:H63), SUM(H44:H63) / COUNT(H44:H63), 0)</f>
        <v>-2.7109715043591005E-2</v>
      </c>
      <c r="I64" s="208">
        <f>SUM(I44:I63)</f>
        <v>-81329.145130773031</v>
      </c>
      <c r="J64" s="131" t="s">
        <v>302</v>
      </c>
      <c r="K64" s="236">
        <f>IF(COUNT(K44:K63), SUM(K44:K63) / COUNT(K44:K63), 0)</f>
        <v>-1.8975899586936136E-2</v>
      </c>
      <c r="L64" s="208">
        <f>SUM(L44:L63)</f>
        <v>-56927.698760808395</v>
      </c>
      <c r="M64" s="131" t="s">
        <v>302</v>
      </c>
      <c r="N64" s="236">
        <f>IF(COUNT(N44:N63), SUM(N44:N63) / COUNT(N44:N63), 0)</f>
        <v>-1.6804546806449459E-2</v>
      </c>
      <c r="O64" s="208">
        <f>SUM(O44:O63)</f>
        <v>-50413.640419348376</v>
      </c>
      <c r="Q64" s="303"/>
      <c r="R64" s="304"/>
      <c r="S64" s="305"/>
    </row>
    <row r="65" spans="1:19" ht="17.25" customHeight="1"/>
    <row r="66" spans="1:19" ht="17.25" customHeight="1" thickBot="1"/>
    <row r="67" spans="1:19" ht="17.25" thickBot="1">
      <c r="A67" s="249" t="s">
        <v>45</v>
      </c>
      <c r="B67" s="250"/>
      <c r="C67" s="250"/>
      <c r="D67" s="250"/>
      <c r="E67" s="250"/>
      <c r="F67" s="250"/>
      <c r="G67" s="250"/>
      <c r="H67" s="250"/>
      <c r="I67" s="250"/>
      <c r="J67" s="250"/>
      <c r="K67" s="250"/>
      <c r="L67" s="250"/>
      <c r="M67" s="250"/>
      <c r="N67" s="250"/>
      <c r="O67" s="251"/>
      <c r="Q67" s="270"/>
      <c r="R67" s="270"/>
      <c r="S67" s="270"/>
    </row>
    <row r="68" spans="1:19" ht="17.25" thickBot="1">
      <c r="A68" s="233" t="s">
        <v>298</v>
      </c>
      <c r="B68" s="249" t="s">
        <v>49</v>
      </c>
      <c r="C68" s="251"/>
      <c r="D68" s="249" t="s">
        <v>58</v>
      </c>
      <c r="E68" s="250"/>
      <c r="F68" s="251"/>
      <c r="G68" s="276">
        <f>_xlfn.IFNA(VLOOKUP(B68, 현재가테이블!$B$2:$D$200, 2, FALSE), "-")</f>
        <v>60874000</v>
      </c>
      <c r="H68" s="277"/>
      <c r="I68" s="278"/>
      <c r="J68" s="249" t="s">
        <v>59</v>
      </c>
      <c r="K68" s="250"/>
      <c r="L68" s="251"/>
      <c r="M68" s="279">
        <f>_xlfn.IFNA(VLOOKUP(B68, 현재가테이블!$B$2:$D$200, 3, FALSE), "-")</f>
        <v>-1.4936000099999999E-2</v>
      </c>
      <c r="N68" s="280"/>
      <c r="O68" s="281"/>
      <c r="Q68" s="270"/>
      <c r="R68" s="270"/>
      <c r="S68" s="270"/>
    </row>
    <row r="69" spans="1:19" ht="17.25" thickBot="1">
      <c r="A69" s="310" t="s">
        <v>55</v>
      </c>
      <c r="B69" s="312" t="str">
        <f>TEXT($G$1, "[$-ko-KR]yyyy-mm-dd(ddd) ") &amp; "오전 00:00"</f>
        <v>2021-05-15(토) 오전 00:00</v>
      </c>
      <c r="C69" s="313"/>
      <c r="D69" s="249" t="str">
        <f>TEXT($G$1, "[$-ko-KR]yyyy-mm-dd(ddd) ") &amp; "오후 14:00"</f>
        <v>2021-05-15(토) 오후 14:00</v>
      </c>
      <c r="E69" s="250"/>
      <c r="F69" s="251"/>
      <c r="G69" s="249" t="str">
        <f>TEXT($G$1, "[$-ko-KR]yyyy-mm-dd(ddd) ") &amp; "오후 19:00"</f>
        <v>2021-05-15(토) 오후 19:00</v>
      </c>
      <c r="H69" s="250"/>
      <c r="I69" s="251"/>
      <c r="J69" s="249" t="str">
        <f>TEXT($G$1, "[$-ko-KR]yyyy-mm-dd(ddd) ") &amp; "오후 21:00"</f>
        <v>2021-05-15(토) 오후 21:00</v>
      </c>
      <c r="K69" s="250"/>
      <c r="L69" s="251"/>
      <c r="M69" s="249" t="str">
        <f>TEXT($G$1+1, "[$-ko-KR]yyyy-mm-dd(ddd) ") &amp; "오전 00:00"</f>
        <v>2021-05-16(일) 오전 00:00</v>
      </c>
      <c r="N69" s="250"/>
      <c r="O69" s="251"/>
      <c r="Q69" s="270"/>
      <c r="R69" s="270"/>
      <c r="S69" s="270"/>
    </row>
    <row r="70" spans="1:19" ht="17.25" thickBot="1">
      <c r="A70" s="311"/>
      <c r="B70" s="120" t="s">
        <v>58</v>
      </c>
      <c r="C70" s="121" t="s">
        <v>59</v>
      </c>
      <c r="D70" s="120" t="s">
        <v>58</v>
      </c>
      <c r="E70" s="121" t="s">
        <v>299</v>
      </c>
      <c r="F70" s="240" t="s">
        <v>300</v>
      </c>
      <c r="G70" s="233" t="s">
        <v>58</v>
      </c>
      <c r="H70" s="234" t="s">
        <v>299</v>
      </c>
      <c r="I70" s="235" t="s">
        <v>300</v>
      </c>
      <c r="J70" s="121" t="s">
        <v>58</v>
      </c>
      <c r="K70" s="121" t="s">
        <v>299</v>
      </c>
      <c r="L70" s="238" t="s">
        <v>300</v>
      </c>
      <c r="M70" s="120" t="s">
        <v>58</v>
      </c>
      <c r="N70" s="121" t="s">
        <v>299</v>
      </c>
      <c r="O70" s="239" t="s">
        <v>300</v>
      </c>
      <c r="Q70" s="275"/>
      <c r="R70" s="275"/>
      <c r="S70" s="275"/>
    </row>
    <row r="71" spans="1:19" ht="17.25" thickBot="1">
      <c r="A71" s="122" t="s">
        <v>296</v>
      </c>
      <c r="B71" s="123">
        <v>662</v>
      </c>
      <c r="C71" s="72">
        <v>7.4675324700000004E-2</v>
      </c>
      <c r="D71" s="123">
        <v>661</v>
      </c>
      <c r="E71" s="72">
        <f>IF(ISNUMBER(D71), (D71 - $B71) / $B71, "")</f>
        <v>-1.5105740181268882E-3</v>
      </c>
      <c r="F71" s="140">
        <f>IF(ISNUMBER(D71), $B91 * E71, "")</f>
        <v>-226.58610271903322</v>
      </c>
      <c r="G71" s="38">
        <v>636</v>
      </c>
      <c r="H71" s="72">
        <f>IF(ISNUMBER(G71), (G71 - $B71) / $B71, "")</f>
        <v>-3.9274924471299093E-2</v>
      </c>
      <c r="I71" s="201">
        <f>IF(ISNUMBER(G71), $B91 * H71, "")</f>
        <v>-5891.2386706948637</v>
      </c>
      <c r="J71" s="123">
        <v>643</v>
      </c>
      <c r="K71" s="72">
        <f>IF(ISNUMBER(J71), (J71 - $B71) / $B71, "")</f>
        <v>-2.8700906344410877E-2</v>
      </c>
      <c r="L71" s="140">
        <f>IF(ISNUMBER(J71), $B91 * K71, "")</f>
        <v>-4305.1359516616312</v>
      </c>
      <c r="M71" s="38">
        <v>643</v>
      </c>
      <c r="N71" s="72">
        <f>IF(ISNUMBER(M71), (M71 - $B71) / $B71, "")</f>
        <v>-2.8700906344410877E-2</v>
      </c>
      <c r="O71" s="140">
        <f>IF(ISNUMBER(M71), $B91 * N71, "")</f>
        <v>-4305.1359516616312</v>
      </c>
      <c r="Q71" s="270"/>
      <c r="R71" s="270"/>
      <c r="S71" s="270"/>
    </row>
    <row r="72" spans="1:19" ht="17.25" thickBot="1">
      <c r="A72" s="124" t="s">
        <v>136</v>
      </c>
      <c r="B72" s="125">
        <v>243</v>
      </c>
      <c r="C72" s="73">
        <v>5.19480519E-2</v>
      </c>
      <c r="D72" s="125">
        <v>239</v>
      </c>
      <c r="E72" s="73">
        <f t="shared" ref="E72:E75" si="44">IF(ISNUMBER(D72), (D72 - $B72) / $B72, "")</f>
        <v>-1.646090534979424E-2</v>
      </c>
      <c r="F72" s="136">
        <f>IF(ISNUMBER(D72), $B91 * E72, "")</f>
        <v>-2469.1358024691358</v>
      </c>
      <c r="G72" s="39">
        <v>232</v>
      </c>
      <c r="H72" s="73">
        <f t="shared" ref="H72:H75" si="45">IF(ISNUMBER(G72), (G72 - $B72) / $B72, "")</f>
        <v>-4.5267489711934158E-2</v>
      </c>
      <c r="I72" s="202">
        <f>IF(ISNUMBER(G72), $B91 * H72, "")</f>
        <v>-6790.1234567901238</v>
      </c>
      <c r="J72" s="125">
        <v>235</v>
      </c>
      <c r="K72" s="73">
        <f t="shared" ref="K72:K75" si="46">IF(ISNUMBER(J72), (J72 - $B72) / $B72, "")</f>
        <v>-3.292181069958848E-2</v>
      </c>
      <c r="L72" s="136">
        <f>IF(ISNUMBER(J72), $B91 * K72, "")</f>
        <v>-4938.2716049382716</v>
      </c>
      <c r="M72" s="39">
        <v>235</v>
      </c>
      <c r="N72" s="73">
        <f t="shared" ref="N72:N75" si="47">IF(ISNUMBER(M72), (M72 - $B72) / $B72, "")</f>
        <v>-3.292181069958848E-2</v>
      </c>
      <c r="O72" s="136">
        <f>IF(ISNUMBER(M72), $B91 * N72, "")</f>
        <v>-4938.2716049382716</v>
      </c>
      <c r="Q72" s="270"/>
      <c r="R72" s="270"/>
      <c r="S72" s="270"/>
    </row>
    <row r="73" spans="1:19" ht="17.25" thickBot="1">
      <c r="A73" s="124" t="s">
        <v>240</v>
      </c>
      <c r="B73" s="125">
        <v>159</v>
      </c>
      <c r="C73" s="73">
        <v>4.6052631599999998E-2</v>
      </c>
      <c r="D73" s="125">
        <v>162</v>
      </c>
      <c r="E73" s="73">
        <f t="shared" si="44"/>
        <v>1.8867924528301886E-2</v>
      </c>
      <c r="F73" s="136">
        <f>IF(ISNUMBER(D73), $B91 * E73, "")</f>
        <v>2830.1886792452829</v>
      </c>
      <c r="G73" s="39">
        <v>157</v>
      </c>
      <c r="H73" s="73">
        <f t="shared" si="45"/>
        <v>-1.2578616352201259E-2</v>
      </c>
      <c r="I73" s="202">
        <f>IF(ISNUMBER(G73), $B91 * H73, "")</f>
        <v>-1886.7924528301887</v>
      </c>
      <c r="J73" s="125">
        <v>159</v>
      </c>
      <c r="K73" s="73">
        <f t="shared" si="46"/>
        <v>0</v>
      </c>
      <c r="L73" s="136">
        <f>IF(ISNUMBER(J73), $B91 * K73, "")</f>
        <v>0</v>
      </c>
      <c r="M73" s="39">
        <v>157</v>
      </c>
      <c r="N73" s="73">
        <f t="shared" si="47"/>
        <v>-1.2578616352201259E-2</v>
      </c>
      <c r="O73" s="136">
        <f>IF(ISNUMBER(M73), $B91 * N73, "")</f>
        <v>-1886.7924528301887</v>
      </c>
      <c r="Q73" s="275"/>
      <c r="R73" s="275"/>
      <c r="S73" s="275"/>
    </row>
    <row r="74" spans="1:19" ht="17.25" thickBot="1">
      <c r="A74" s="124" t="s">
        <v>260</v>
      </c>
      <c r="B74" s="125">
        <v>123</v>
      </c>
      <c r="C74" s="73">
        <v>4.23728814E-2</v>
      </c>
      <c r="D74" s="125">
        <v>131</v>
      </c>
      <c r="E74" s="73">
        <f t="shared" si="44"/>
        <v>6.5040650406504072E-2</v>
      </c>
      <c r="F74" s="136">
        <f>IF(ISNUMBER(D74), $B91 * E74, "")</f>
        <v>9756.0975609756115</v>
      </c>
      <c r="G74" s="39">
        <v>127</v>
      </c>
      <c r="H74" s="73">
        <f t="shared" si="45"/>
        <v>3.2520325203252036E-2</v>
      </c>
      <c r="I74" s="202">
        <f>IF(ISNUMBER(G74), $B91 * H74, "")</f>
        <v>4878.0487804878057</v>
      </c>
      <c r="J74" s="125">
        <v>128</v>
      </c>
      <c r="K74" s="73">
        <f t="shared" si="46"/>
        <v>4.065040650406504E-2</v>
      </c>
      <c r="L74" s="136">
        <f>IF(ISNUMBER(J74), $B91 * K74, "")</f>
        <v>6097.5609756097556</v>
      </c>
      <c r="M74" s="39">
        <v>131</v>
      </c>
      <c r="N74" s="73">
        <f t="shared" si="47"/>
        <v>6.5040650406504072E-2</v>
      </c>
      <c r="O74" s="136">
        <f>IF(ISNUMBER(M74), $B91 * N74, "")</f>
        <v>9756.0975609756115</v>
      </c>
      <c r="Q74" s="275"/>
      <c r="R74" s="275"/>
      <c r="S74" s="275"/>
    </row>
    <row r="75" spans="1:19" ht="17.25" thickBot="1">
      <c r="A75" s="126" t="s">
        <v>284</v>
      </c>
      <c r="B75" s="127">
        <v>422</v>
      </c>
      <c r="C75" s="74">
        <v>3.6855036899999999E-2</v>
      </c>
      <c r="D75" s="127">
        <v>412</v>
      </c>
      <c r="E75" s="74">
        <f t="shared" si="44"/>
        <v>-2.3696682464454975E-2</v>
      </c>
      <c r="F75" s="203">
        <f>IF(ISNUMBER(D75), $B91 * E75, "")</f>
        <v>-3554.502369668246</v>
      </c>
      <c r="G75" s="44">
        <v>402</v>
      </c>
      <c r="H75" s="74">
        <f t="shared" si="45"/>
        <v>-4.7393364928909949E-2</v>
      </c>
      <c r="I75" s="204">
        <f>IF(ISNUMBER(G75), $B91 * H75, "")</f>
        <v>-7109.0047393364921</v>
      </c>
      <c r="J75" s="127">
        <v>403</v>
      </c>
      <c r="K75" s="74">
        <f t="shared" si="46"/>
        <v>-4.5023696682464455E-2</v>
      </c>
      <c r="L75" s="203">
        <f>IF(ISNUMBER(J75), $B91 * K75, "")</f>
        <v>-6753.5545023696686</v>
      </c>
      <c r="M75" s="44">
        <v>407</v>
      </c>
      <c r="N75" s="74">
        <f t="shared" si="47"/>
        <v>-3.5545023696682464E-2</v>
      </c>
      <c r="O75" s="203">
        <f>IF(ISNUMBER(M75), $B91 * N75, "")</f>
        <v>-5331.7535545023693</v>
      </c>
      <c r="Q75" s="275"/>
      <c r="R75" s="275"/>
      <c r="S75" s="275"/>
    </row>
    <row r="76" spans="1:19" ht="17.25" thickBot="1">
      <c r="A76" s="124" t="s">
        <v>116</v>
      </c>
      <c r="B76" s="128">
        <v>552</v>
      </c>
      <c r="C76" s="76">
        <v>2.7932960900000001E-2</v>
      </c>
      <c r="D76" s="128">
        <v>574</v>
      </c>
      <c r="E76" s="76">
        <f>IF(ISNUMBER(D76), (D76 - $B76) / $B76, "")</f>
        <v>3.9855072463768113E-2</v>
      </c>
      <c r="F76" s="205">
        <f>IF(ISNUMBER(D76), $B91 * E76, "")</f>
        <v>5978.260869565217</v>
      </c>
      <c r="G76" s="45">
        <v>569</v>
      </c>
      <c r="H76" s="76">
        <f>IF(ISNUMBER(G76), (G76 - $B76) / $B76, "")</f>
        <v>3.0797101449275364E-2</v>
      </c>
      <c r="I76" s="206">
        <f>IF(ISNUMBER(G76), $B91 * H76, "")</f>
        <v>4619.5652173913049</v>
      </c>
      <c r="J76" s="128">
        <v>606</v>
      </c>
      <c r="K76" s="76">
        <f>IF(ISNUMBER(J76), (J76 - $B76) / $B76, "")</f>
        <v>9.7826086956521743E-2</v>
      </c>
      <c r="L76" s="205">
        <f>IF(ISNUMBER(J76), $B91 * K76, "")</f>
        <v>14673.913043478262</v>
      </c>
      <c r="M76" s="45">
        <v>588</v>
      </c>
      <c r="N76" s="76">
        <f>IF(ISNUMBER(M76), (M76 - $B76) / $B76, "")</f>
        <v>6.5217391304347824E-2</v>
      </c>
      <c r="O76" s="205">
        <f>IF(ISNUMBER(M76), $B91 * N76, "")</f>
        <v>9782.608695652174</v>
      </c>
      <c r="Q76" s="275"/>
      <c r="R76" s="275"/>
      <c r="S76" s="275"/>
    </row>
    <row r="77" spans="1:19" ht="17.25" thickBot="1">
      <c r="A77" s="124" t="s">
        <v>216</v>
      </c>
      <c r="B77" s="125">
        <v>444</v>
      </c>
      <c r="C77" s="73">
        <v>2.77777778E-2</v>
      </c>
      <c r="D77" s="125">
        <v>438</v>
      </c>
      <c r="E77" s="73">
        <f t="shared" ref="E77:E80" si="48">IF(ISNUMBER(D77), (D77 - $B77) / $B77, "")</f>
        <v>-1.3513513513513514E-2</v>
      </c>
      <c r="F77" s="136">
        <f>IF(ISNUMBER(D77), $B91 * E77, "")</f>
        <v>-2027.0270270270271</v>
      </c>
      <c r="G77" s="39">
        <v>426</v>
      </c>
      <c r="H77" s="73">
        <f t="shared" ref="H77:H80" si="49">IF(ISNUMBER(G77), (G77 - $B77) / $B77, "")</f>
        <v>-4.0540540540540543E-2</v>
      </c>
      <c r="I77" s="202">
        <f>IF(ISNUMBER(G77), $B91 * H77, "")</f>
        <v>-6081.0810810810817</v>
      </c>
      <c r="J77" s="125">
        <v>435</v>
      </c>
      <c r="K77" s="73">
        <f t="shared" ref="K77:K80" si="50">IF(ISNUMBER(J77), (J77 - $B77) / $B77, "")</f>
        <v>-2.0270270270270271E-2</v>
      </c>
      <c r="L77" s="136">
        <f>IF(ISNUMBER(J77), $B91 * K77, "")</f>
        <v>-3040.5405405405409</v>
      </c>
      <c r="M77" s="39">
        <v>438</v>
      </c>
      <c r="N77" s="73">
        <f t="shared" ref="N77:N80" si="51">IF(ISNUMBER(M77), (M77 - $B77) / $B77, "")</f>
        <v>-1.3513513513513514E-2</v>
      </c>
      <c r="O77" s="136">
        <f>IF(ISNUMBER(M77), $B91 * N77, "")</f>
        <v>-2027.0270270270271</v>
      </c>
      <c r="Q77" s="275"/>
      <c r="R77" s="275"/>
      <c r="S77" s="275"/>
    </row>
    <row r="78" spans="1:19" ht="17.25" thickBot="1">
      <c r="A78" s="124" t="s">
        <v>256</v>
      </c>
      <c r="B78" s="125">
        <v>241</v>
      </c>
      <c r="C78" s="73">
        <v>2.5531914900000001E-2</v>
      </c>
      <c r="D78" s="125">
        <v>242</v>
      </c>
      <c r="E78" s="73">
        <f t="shared" si="48"/>
        <v>4.1493775933609959E-3</v>
      </c>
      <c r="F78" s="136">
        <f>IF(ISNUMBER(D78), $B91 * E78, "")</f>
        <v>622.40663900414938</v>
      </c>
      <c r="G78" s="39">
        <v>238</v>
      </c>
      <c r="H78" s="73">
        <f t="shared" si="49"/>
        <v>-1.2448132780082987E-2</v>
      </c>
      <c r="I78" s="202">
        <f>IF(ISNUMBER(G78), $B91 * H78, "")</f>
        <v>-1867.2199170124479</v>
      </c>
      <c r="J78" s="125">
        <v>241</v>
      </c>
      <c r="K78" s="73">
        <f t="shared" si="50"/>
        <v>0</v>
      </c>
      <c r="L78" s="136">
        <f>IF(ISNUMBER(J78), $B91 * K78, "")</f>
        <v>0</v>
      </c>
      <c r="M78" s="39">
        <v>240</v>
      </c>
      <c r="N78" s="73">
        <f t="shared" si="51"/>
        <v>-4.1493775933609959E-3</v>
      </c>
      <c r="O78" s="136">
        <f>IF(ISNUMBER(M78), $B91 * N78, "")</f>
        <v>-622.40663900414938</v>
      </c>
      <c r="Q78" s="275"/>
      <c r="R78" s="275"/>
      <c r="S78" s="275"/>
    </row>
    <row r="79" spans="1:19" ht="17.25" thickBot="1">
      <c r="A79" s="124" t="s">
        <v>174</v>
      </c>
      <c r="B79" s="125">
        <v>252</v>
      </c>
      <c r="C79" s="73">
        <v>2.4390243900000001E-2</v>
      </c>
      <c r="D79" s="125">
        <v>252</v>
      </c>
      <c r="E79" s="73">
        <f t="shared" si="48"/>
        <v>0</v>
      </c>
      <c r="F79" s="136">
        <f>IF(ISNUMBER(D79), $B91 * E79, "")</f>
        <v>0</v>
      </c>
      <c r="G79" s="39">
        <v>242</v>
      </c>
      <c r="H79" s="73">
        <f t="shared" si="49"/>
        <v>-3.968253968253968E-2</v>
      </c>
      <c r="I79" s="202">
        <f>IF(ISNUMBER(G79), $B91 * H79, "")</f>
        <v>-5952.3809523809523</v>
      </c>
      <c r="J79" s="125">
        <v>244</v>
      </c>
      <c r="K79" s="73">
        <f t="shared" si="50"/>
        <v>-3.1746031746031744E-2</v>
      </c>
      <c r="L79" s="136">
        <f>IF(ISNUMBER(J79), $B91 * K79, "")</f>
        <v>-4761.9047619047615</v>
      </c>
      <c r="M79" s="39">
        <v>243</v>
      </c>
      <c r="N79" s="73">
        <f t="shared" si="51"/>
        <v>-3.5714285714285712E-2</v>
      </c>
      <c r="O79" s="136">
        <f>IF(ISNUMBER(M79), $B91 * N79, "")</f>
        <v>-5357.1428571428569</v>
      </c>
      <c r="Q79" s="33"/>
      <c r="R79" s="33"/>
    </row>
    <row r="80" spans="1:19" ht="17.25" thickBot="1">
      <c r="A80" s="129" t="s">
        <v>128</v>
      </c>
      <c r="B80" s="130">
        <v>599</v>
      </c>
      <c r="C80" s="75">
        <v>2.0442930200000001E-2</v>
      </c>
      <c r="D80" s="130">
        <v>605</v>
      </c>
      <c r="E80" s="75">
        <f t="shared" si="48"/>
        <v>1.001669449081803E-2</v>
      </c>
      <c r="F80" s="137">
        <f>IF(ISNUMBER(D80), $B91 * E80, "")</f>
        <v>1502.5041736227045</v>
      </c>
      <c r="G80" s="37">
        <v>581</v>
      </c>
      <c r="H80" s="75">
        <f t="shared" si="49"/>
        <v>-3.0050083472454091E-2</v>
      </c>
      <c r="I80" s="207">
        <f>IF(ISNUMBER(G80), $B91 * H80, "")</f>
        <v>-4507.5125208681138</v>
      </c>
      <c r="J80" s="130">
        <v>584</v>
      </c>
      <c r="K80" s="75">
        <f t="shared" si="50"/>
        <v>-2.5041736227045076E-2</v>
      </c>
      <c r="L80" s="137">
        <f>IF(ISNUMBER(J80), $B91 * K80, "")</f>
        <v>-3756.2604340567614</v>
      </c>
      <c r="M80" s="37">
        <v>585</v>
      </c>
      <c r="N80" s="75">
        <f t="shared" si="51"/>
        <v>-2.337228714524207E-2</v>
      </c>
      <c r="O80" s="137">
        <f>IF(ISNUMBER(M80), $B91 * N80, "")</f>
        <v>-3505.8430717863107</v>
      </c>
      <c r="Q80" s="284"/>
      <c r="R80" s="285"/>
      <c r="S80" s="286"/>
    </row>
    <row r="81" spans="1:19">
      <c r="A81" s="122" t="s">
        <v>148</v>
      </c>
      <c r="B81" s="123">
        <v>174</v>
      </c>
      <c r="C81" s="72">
        <v>1.75438596E-2</v>
      </c>
      <c r="D81" s="123">
        <v>176</v>
      </c>
      <c r="E81" s="72">
        <f>IF(ISNUMBER(D81), (D81 - $B81) / $B81, "")</f>
        <v>1.1494252873563218E-2</v>
      </c>
      <c r="F81" s="140">
        <f>IF(ISNUMBER(D81), $B91 * E81, "")</f>
        <v>1724.1379310344828</v>
      </c>
      <c r="G81" s="38">
        <v>171</v>
      </c>
      <c r="H81" s="72">
        <f>IF(ISNUMBER(G81), (G81 - $B81) / $B81, "")</f>
        <v>-1.7241379310344827E-2</v>
      </c>
      <c r="I81" s="201">
        <f>IF(ISNUMBER(G81), $B91 * H81, "")</f>
        <v>-2586.2068965517242</v>
      </c>
      <c r="J81" s="123">
        <v>172</v>
      </c>
      <c r="K81" s="72">
        <f>IF(ISNUMBER(J81), (J81 - $B81) / $B81, "")</f>
        <v>-1.1494252873563218E-2</v>
      </c>
      <c r="L81" s="140">
        <f>IF(ISNUMBER(J81), $B91 * K81, "")</f>
        <v>-1724.1379310344828</v>
      </c>
      <c r="M81" s="38">
        <v>170</v>
      </c>
      <c r="N81" s="72">
        <f>IF(ISNUMBER(M81), (M81 - $B81) / $B81, "")</f>
        <v>-2.2988505747126436E-2</v>
      </c>
      <c r="O81" s="140">
        <f>IF(ISNUMBER(M81), $B91 * N81, "")</f>
        <v>-3448.2758620689656</v>
      </c>
      <c r="Q81" s="287"/>
      <c r="R81" s="288"/>
      <c r="S81" s="289"/>
    </row>
    <row r="82" spans="1:19" ht="17.25" thickBot="1">
      <c r="A82" s="124" t="s">
        <v>250</v>
      </c>
      <c r="B82" s="125">
        <v>179</v>
      </c>
      <c r="C82" s="73">
        <v>1.7045454500000001E-2</v>
      </c>
      <c r="D82" s="125">
        <v>183</v>
      </c>
      <c r="E82" s="73">
        <f t="shared" ref="E82:E85" si="52">IF(ISNUMBER(D82), (D82 - $B82) / $B82, "")</f>
        <v>2.23463687150838E-2</v>
      </c>
      <c r="F82" s="136">
        <f>IF(ISNUMBER(D82), $B91 * E82, "")</f>
        <v>3351.9553072625699</v>
      </c>
      <c r="G82" s="39">
        <v>174</v>
      </c>
      <c r="H82" s="73">
        <f t="shared" ref="H82:H85" si="53">IF(ISNUMBER(G82), (G82 - $B82) / $B82, "")</f>
        <v>-2.7932960893854747E-2</v>
      </c>
      <c r="I82" s="202">
        <f>IF(ISNUMBER(G82), $B91 * H82, "")</f>
        <v>-4189.9441340782123</v>
      </c>
      <c r="J82" s="125">
        <v>176</v>
      </c>
      <c r="K82" s="73">
        <f t="shared" ref="K82:K85" si="54">IF(ISNUMBER(J82), (J82 - $B82) / $B82, "")</f>
        <v>-1.6759776536312849E-2</v>
      </c>
      <c r="L82" s="136">
        <f>IF(ISNUMBER(J82), $B91 * K82, "")</f>
        <v>-2513.9664804469271</v>
      </c>
      <c r="M82" s="39">
        <v>177</v>
      </c>
      <c r="N82" s="73">
        <f t="shared" ref="N82:N85" si="55">IF(ISNUMBER(M82), (M82 - $B82) / $B82, "")</f>
        <v>-1.11731843575419E-2</v>
      </c>
      <c r="O82" s="136">
        <f>IF(ISNUMBER(M82), $B91 * N82, "")</f>
        <v>-1675.977653631285</v>
      </c>
      <c r="Q82" s="290"/>
      <c r="R82" s="291"/>
      <c r="S82" s="292"/>
    </row>
    <row r="83" spans="1:19" ht="17.25" thickBot="1">
      <c r="A83" s="124" t="s">
        <v>232</v>
      </c>
      <c r="B83" s="125">
        <v>150</v>
      </c>
      <c r="C83" s="73">
        <v>1.3513513499999999E-2</v>
      </c>
      <c r="D83" s="125">
        <v>156</v>
      </c>
      <c r="E83" s="73">
        <f t="shared" si="52"/>
        <v>0.04</v>
      </c>
      <c r="F83" s="136">
        <f>IF(ISNUMBER(D83), $B91 * E83, "")</f>
        <v>6000</v>
      </c>
      <c r="G83" s="39">
        <v>149</v>
      </c>
      <c r="H83" s="73">
        <f t="shared" si="53"/>
        <v>-6.6666666666666671E-3</v>
      </c>
      <c r="I83" s="202">
        <f>IF(ISNUMBER(G83), $B91 * H83, "")</f>
        <v>-1000.0000000000001</v>
      </c>
      <c r="J83" s="125">
        <v>150</v>
      </c>
      <c r="K83" s="73">
        <f t="shared" si="54"/>
        <v>0</v>
      </c>
      <c r="L83" s="136">
        <f>IF(ISNUMBER(J83), $B91 * K83, "")</f>
        <v>0</v>
      </c>
      <c r="M83" s="39">
        <v>151</v>
      </c>
      <c r="N83" s="73">
        <f t="shared" si="55"/>
        <v>6.6666666666666671E-3</v>
      </c>
      <c r="O83" s="136">
        <f>IF(ISNUMBER(M83), $B91 * N83, "")</f>
        <v>1000.0000000000001</v>
      </c>
      <c r="Q83" s="275"/>
      <c r="R83" s="275"/>
      <c r="S83" s="275"/>
    </row>
    <row r="84" spans="1:19" ht="17.25" thickBot="1">
      <c r="A84" s="124" t="s">
        <v>156</v>
      </c>
      <c r="B84" s="125">
        <v>155</v>
      </c>
      <c r="C84" s="73">
        <v>1.30718954E-2</v>
      </c>
      <c r="D84" s="125">
        <v>153</v>
      </c>
      <c r="E84" s="73">
        <f t="shared" si="52"/>
        <v>-1.2903225806451613E-2</v>
      </c>
      <c r="F84" s="136">
        <f>IF(ISNUMBER(D84), $B91 * E84, "")</f>
        <v>-1935.483870967742</v>
      </c>
      <c r="G84" s="39">
        <v>150</v>
      </c>
      <c r="H84" s="73">
        <f t="shared" si="53"/>
        <v>-3.2258064516129031E-2</v>
      </c>
      <c r="I84" s="202">
        <f>IF(ISNUMBER(G84), $B91 * H84, "")</f>
        <v>-4838.7096774193551</v>
      </c>
      <c r="J84" s="125">
        <v>151</v>
      </c>
      <c r="K84" s="73">
        <f t="shared" si="54"/>
        <v>-2.5806451612903226E-2</v>
      </c>
      <c r="L84" s="136">
        <f>IF(ISNUMBER(J84), $B91 * K84, "")</f>
        <v>-3870.9677419354839</v>
      </c>
      <c r="M84" s="39">
        <v>154</v>
      </c>
      <c r="N84" s="73">
        <f t="shared" si="55"/>
        <v>-6.4516129032258064E-3</v>
      </c>
      <c r="O84" s="136">
        <f>IF(ISNUMBER(M84), $B91 * N84, "")</f>
        <v>-967.74193548387098</v>
      </c>
      <c r="Q84" s="270"/>
      <c r="R84" s="270"/>
      <c r="S84" s="270"/>
    </row>
    <row r="85" spans="1:19" ht="17.25" thickBot="1">
      <c r="A85" s="126" t="s">
        <v>57</v>
      </c>
      <c r="B85" s="127">
        <v>395</v>
      </c>
      <c r="C85" s="74">
        <v>7.6530612000000001E-3</v>
      </c>
      <c r="D85" s="127">
        <v>392</v>
      </c>
      <c r="E85" s="74">
        <f t="shared" si="52"/>
        <v>-7.5949367088607592E-3</v>
      </c>
      <c r="F85" s="203">
        <f>IF(ISNUMBER(D85), $B91 * E85, "")</f>
        <v>-1139.2405063291139</v>
      </c>
      <c r="G85" s="44">
        <v>380</v>
      </c>
      <c r="H85" s="74">
        <f t="shared" si="53"/>
        <v>-3.7974683544303799E-2</v>
      </c>
      <c r="I85" s="204">
        <f>IF(ISNUMBER(G85), $B91 * H85, "")</f>
        <v>-5696.2025316455702</v>
      </c>
      <c r="J85" s="127">
        <v>384</v>
      </c>
      <c r="K85" s="74">
        <f t="shared" si="54"/>
        <v>-2.7848101265822784E-2</v>
      </c>
      <c r="L85" s="203">
        <f>IF(ISNUMBER(J85), $B91 * K85, "")</f>
        <v>-4177.2151898734173</v>
      </c>
      <c r="M85" s="44">
        <v>395</v>
      </c>
      <c r="N85" s="74">
        <f t="shared" si="55"/>
        <v>0</v>
      </c>
      <c r="O85" s="203">
        <f>IF(ISNUMBER(M85), $B91 * N85, "")</f>
        <v>0</v>
      </c>
      <c r="Q85" s="270"/>
      <c r="R85" s="270"/>
      <c r="S85" s="270"/>
    </row>
    <row r="86" spans="1:19" ht="17.25" thickBot="1">
      <c r="A86" s="124" t="s">
        <v>134</v>
      </c>
      <c r="B86" s="128">
        <v>144</v>
      </c>
      <c r="C86" s="76">
        <v>6.9930069999999999E-3</v>
      </c>
      <c r="D86" s="128">
        <v>145</v>
      </c>
      <c r="E86" s="76">
        <f>IF(ISNUMBER(D86), (D86 - $B86) / $B86, "")</f>
        <v>6.9444444444444441E-3</v>
      </c>
      <c r="F86" s="205">
        <f>IF(ISNUMBER(D86), $B91 * E86, "")</f>
        <v>1041.6666666666665</v>
      </c>
      <c r="G86" s="45">
        <v>141</v>
      </c>
      <c r="H86" s="76">
        <f>IF(ISNUMBER(G86), (G86 - $B86) / $B86, "")</f>
        <v>-2.0833333333333332E-2</v>
      </c>
      <c r="I86" s="206">
        <f>IF(ISNUMBER(G86), $B91 * H86, "")</f>
        <v>-3125</v>
      </c>
      <c r="J86" s="128">
        <v>141</v>
      </c>
      <c r="K86" s="76">
        <f>IF(ISNUMBER(J86), (J86 - $B86) / $B86, "")</f>
        <v>-2.0833333333333332E-2</v>
      </c>
      <c r="L86" s="205">
        <f>IF(ISNUMBER(J86), $B91 * K86, "")</f>
        <v>-3125</v>
      </c>
      <c r="M86" s="45">
        <v>142</v>
      </c>
      <c r="N86" s="76">
        <f>IF(ISNUMBER(M86), (M86 - $B86) / $B86, "")</f>
        <v>-1.3888888888888888E-2</v>
      </c>
      <c r="O86" s="205">
        <f>IF(ISNUMBER(M86), $B91 * N86, "")</f>
        <v>-2083.333333333333</v>
      </c>
      <c r="Q86" s="275"/>
      <c r="R86" s="275"/>
      <c r="S86" s="275"/>
    </row>
    <row r="87" spans="1:19" ht="17.25" thickBot="1">
      <c r="A87" s="124" t="s">
        <v>264</v>
      </c>
      <c r="B87" s="125">
        <v>149</v>
      </c>
      <c r="C87" s="73">
        <v>6.7567568000000003E-3</v>
      </c>
      <c r="D87" s="125">
        <v>150</v>
      </c>
      <c r="E87" s="73">
        <f t="shared" ref="E87:E90" si="56">IF(ISNUMBER(D87), (D87 - $B87) / $B87, "")</f>
        <v>6.7114093959731542E-3</v>
      </c>
      <c r="F87" s="136">
        <f>IF(ISNUMBER(D87), $B91 * E87, "")</f>
        <v>1006.7114093959731</v>
      </c>
      <c r="G87" s="39">
        <v>145</v>
      </c>
      <c r="H87" s="73">
        <f t="shared" ref="H87:H90" si="57">IF(ISNUMBER(G87), (G87 - $B87) / $B87, "")</f>
        <v>-2.6845637583892617E-2</v>
      </c>
      <c r="I87" s="202">
        <f>IF(ISNUMBER(G87), $B91 * H87, "")</f>
        <v>-4026.8456375838923</v>
      </c>
      <c r="J87" s="125">
        <v>147</v>
      </c>
      <c r="K87" s="73">
        <f t="shared" ref="K87:K90" si="58">IF(ISNUMBER(J87), (J87 - $B87) / $B87, "")</f>
        <v>-1.3422818791946308E-2</v>
      </c>
      <c r="L87" s="136">
        <f>IF(ISNUMBER(J87), $B91 * K87, "")</f>
        <v>-2013.4228187919462</v>
      </c>
      <c r="M87" s="39">
        <v>147</v>
      </c>
      <c r="N87" s="73">
        <f t="shared" ref="N87:N90" si="59">IF(ISNUMBER(M87), (M87 - $B87) / $B87, "")</f>
        <v>-1.3422818791946308E-2</v>
      </c>
      <c r="O87" s="136">
        <f>IF(ISNUMBER(M87), $B91 * N87, "")</f>
        <v>-2013.4228187919462</v>
      </c>
      <c r="Q87" s="275"/>
      <c r="R87" s="275"/>
      <c r="S87" s="275"/>
    </row>
    <row r="88" spans="1:19" ht="17.25" thickBot="1">
      <c r="A88" s="124" t="s">
        <v>168</v>
      </c>
      <c r="B88" s="125">
        <v>201</v>
      </c>
      <c r="C88" s="73">
        <v>5.0000000000000001E-3</v>
      </c>
      <c r="D88" s="125">
        <v>205</v>
      </c>
      <c r="E88" s="73">
        <f t="shared" si="56"/>
        <v>1.9900497512437811E-2</v>
      </c>
      <c r="F88" s="136">
        <f>IF(ISNUMBER(D88), $B91 * E88, "")</f>
        <v>2985.0746268656717</v>
      </c>
      <c r="G88" s="39">
        <v>199</v>
      </c>
      <c r="H88" s="73">
        <f t="shared" si="57"/>
        <v>-9.9502487562189053E-3</v>
      </c>
      <c r="I88" s="202">
        <f>IF(ISNUMBER(G88), $B91 * H88, "")</f>
        <v>-1492.5373134328358</v>
      </c>
      <c r="J88" s="125">
        <v>204</v>
      </c>
      <c r="K88" s="73">
        <f t="shared" si="58"/>
        <v>1.4925373134328358E-2</v>
      </c>
      <c r="L88" s="136">
        <f>IF(ISNUMBER(J88), $B91 * K88, "")</f>
        <v>2238.8059701492539</v>
      </c>
      <c r="M88" s="39">
        <v>211</v>
      </c>
      <c r="N88" s="73">
        <f t="shared" si="59"/>
        <v>4.975124378109453E-2</v>
      </c>
      <c r="O88" s="136">
        <f>IF(ISNUMBER(M88), $B91 * N88, "")</f>
        <v>7462.6865671641799</v>
      </c>
      <c r="Q88" s="275"/>
      <c r="R88" s="275"/>
      <c r="S88" s="275"/>
    </row>
    <row r="89" spans="1:19">
      <c r="A89" s="124" t="s">
        <v>212</v>
      </c>
      <c r="B89" s="125">
        <v>127</v>
      </c>
      <c r="C89" s="73">
        <v>0</v>
      </c>
      <c r="D89" s="125">
        <v>125</v>
      </c>
      <c r="E89" s="73">
        <f t="shared" si="56"/>
        <v>-1.5748031496062992E-2</v>
      </c>
      <c r="F89" s="136">
        <f>IF(ISNUMBER(D89), $B91 * E89, "")</f>
        <v>-2362.2047244094488</v>
      </c>
      <c r="G89" s="39">
        <v>121</v>
      </c>
      <c r="H89" s="73">
        <f t="shared" si="57"/>
        <v>-4.7244094488188976E-2</v>
      </c>
      <c r="I89" s="202">
        <f>IF(ISNUMBER(G89), $B91 * H89, "")</f>
        <v>-7086.6141732283468</v>
      </c>
      <c r="J89" s="125">
        <v>122</v>
      </c>
      <c r="K89" s="73">
        <f t="shared" si="58"/>
        <v>-3.937007874015748E-2</v>
      </c>
      <c r="L89" s="136">
        <f>IF(ISNUMBER(J89), $B91 * K89, "")</f>
        <v>-5905.5118110236217</v>
      </c>
      <c r="M89" s="39">
        <v>123</v>
      </c>
      <c r="N89" s="73">
        <f t="shared" si="59"/>
        <v>-3.1496062992125984E-2</v>
      </c>
      <c r="O89" s="136">
        <f>IF(ISNUMBER(M89), $B91 * N89, "")</f>
        <v>-4724.4094488188975</v>
      </c>
      <c r="Q89" s="297"/>
      <c r="R89" s="298"/>
      <c r="S89" s="299"/>
    </row>
    <row r="90" spans="1:19" ht="17.25" thickBot="1">
      <c r="A90" s="129" t="s">
        <v>278</v>
      </c>
      <c r="B90" s="130">
        <v>140</v>
      </c>
      <c r="C90" s="75">
        <v>0</v>
      </c>
      <c r="D90" s="130">
        <v>139</v>
      </c>
      <c r="E90" s="75">
        <f t="shared" si="56"/>
        <v>-7.1428571428571426E-3</v>
      </c>
      <c r="F90" s="137">
        <f>IF(ISNUMBER(D90), $B91 * E90, "")</f>
        <v>-1071.4285714285713</v>
      </c>
      <c r="G90" s="37">
        <v>135</v>
      </c>
      <c r="H90" s="75">
        <f t="shared" si="57"/>
        <v>-3.5714285714285712E-2</v>
      </c>
      <c r="I90" s="207">
        <f>IF(ISNUMBER(G90), $B91 * H90, "")</f>
        <v>-5357.1428571428569</v>
      </c>
      <c r="J90" s="130">
        <v>137</v>
      </c>
      <c r="K90" s="75">
        <f t="shared" si="58"/>
        <v>-2.1428571428571429E-2</v>
      </c>
      <c r="L90" s="137">
        <f>IF(ISNUMBER(J90), $B91 * K90, "")</f>
        <v>-3214.2857142857142</v>
      </c>
      <c r="M90" s="37">
        <v>139</v>
      </c>
      <c r="N90" s="75">
        <f t="shared" si="59"/>
        <v>-7.1428571428571426E-3</v>
      </c>
      <c r="O90" s="137">
        <f>IF(ISNUMBER(M90), $B91 * N90, "")</f>
        <v>-1071.4285714285713</v>
      </c>
      <c r="Q90" s="300"/>
      <c r="R90" s="301"/>
      <c r="S90" s="302"/>
    </row>
    <row r="91" spans="1:19" ht="17.25" thickBot="1">
      <c r="A91" s="131" t="s">
        <v>301</v>
      </c>
      <c r="B91" s="308">
        <f>$B$37</f>
        <v>150000</v>
      </c>
      <c r="C91" s="309"/>
      <c r="D91" s="131" t="s">
        <v>302</v>
      </c>
      <c r="E91" s="236">
        <f>IF(COUNT(E71:E90), SUM(E71:E90) / COUNT(E71:E90), 0)</f>
        <v>7.3377982962066681E-3</v>
      </c>
      <c r="F91" s="208">
        <f>SUM(F71:F90)</f>
        <v>22013.394888620012</v>
      </c>
      <c r="G91" s="131" t="s">
        <v>302</v>
      </c>
      <c r="H91" s="236">
        <f>IF(COUNT(H71:H90), SUM(H71:H90) / COUNT(H71:H90), 0)</f>
        <v>-2.3328981004732647E-2</v>
      </c>
      <c r="I91" s="208">
        <f>SUM(I71:I90)</f>
        <v>-69986.943014197939</v>
      </c>
      <c r="J91" s="131" t="s">
        <v>302</v>
      </c>
      <c r="K91" s="236">
        <f>IF(COUNT(K71:K90), SUM(K71:K90) / COUNT(K71:K90), 0)</f>
        <v>-1.0363298497875321E-2</v>
      </c>
      <c r="L91" s="208">
        <f>SUM(L71:L90)</f>
        <v>-31089.895493625954</v>
      </c>
      <c r="M91" s="131" t="s">
        <v>302</v>
      </c>
      <c r="N91" s="236">
        <f>IF(COUNT(N71:N90), SUM(N71:N90) / COUNT(N71:N90), 0)</f>
        <v>-5.3191899862192358E-3</v>
      </c>
      <c r="O91" s="208">
        <f>SUM(O71:O90)</f>
        <v>-15957.569958657708</v>
      </c>
      <c r="Q91" s="303"/>
      <c r="R91" s="304"/>
      <c r="S91" s="305"/>
    </row>
    <row r="93" spans="1:19" ht="17.25" thickBot="1"/>
    <row r="94" spans="1:19" ht="17.25" thickBot="1">
      <c r="A94" s="249" t="s">
        <v>46</v>
      </c>
      <c r="B94" s="250"/>
      <c r="C94" s="250"/>
      <c r="D94" s="250"/>
      <c r="E94" s="250"/>
      <c r="F94" s="250"/>
      <c r="G94" s="250"/>
      <c r="H94" s="250"/>
      <c r="I94" s="250"/>
      <c r="J94" s="250"/>
      <c r="K94" s="250"/>
      <c r="L94" s="250"/>
      <c r="M94" s="250"/>
      <c r="N94" s="250"/>
      <c r="O94" s="251"/>
      <c r="Q94" s="270"/>
      <c r="R94" s="270"/>
      <c r="S94" s="270"/>
    </row>
    <row r="95" spans="1:19" ht="17.25" thickBot="1">
      <c r="A95" s="233" t="s">
        <v>298</v>
      </c>
      <c r="B95" s="249" t="s">
        <v>49</v>
      </c>
      <c r="C95" s="251"/>
      <c r="D95" s="249" t="s">
        <v>58</v>
      </c>
      <c r="E95" s="250"/>
      <c r="F95" s="251"/>
      <c r="G95" s="276">
        <f>_xlfn.IFNA(VLOOKUP(B95, 현재가테이블!$B$2:$D$200, 2, FALSE), "-")</f>
        <v>60874000</v>
      </c>
      <c r="H95" s="277"/>
      <c r="I95" s="278"/>
      <c r="J95" s="249" t="s">
        <v>59</v>
      </c>
      <c r="K95" s="250"/>
      <c r="L95" s="251"/>
      <c r="M95" s="279">
        <f>_xlfn.IFNA(VLOOKUP(B95, 현재가테이블!$B$2:$D$200, 3, FALSE), "-")</f>
        <v>-1.4936000099999999E-2</v>
      </c>
      <c r="N95" s="280"/>
      <c r="O95" s="281"/>
      <c r="Q95" s="270"/>
      <c r="R95" s="270"/>
      <c r="S95" s="270"/>
    </row>
    <row r="96" spans="1:19" ht="17.25" thickBot="1">
      <c r="A96" s="310" t="s">
        <v>55</v>
      </c>
      <c r="B96" s="312" t="str">
        <f>TEXT($G$1, "[$-ko-KR]yyyy-mm-dd(ddd) ") &amp; "오전 00:00"</f>
        <v>2021-05-15(토) 오전 00:00</v>
      </c>
      <c r="C96" s="313"/>
      <c r="D96" s="249" t="str">
        <f>TEXT($G$1, "[$-ko-KR]yyyy-mm-dd(ddd) ") &amp; "오후 14:00"</f>
        <v>2021-05-15(토) 오후 14:00</v>
      </c>
      <c r="E96" s="250"/>
      <c r="F96" s="251"/>
      <c r="G96" s="249" t="str">
        <f>TEXT($G$1, "[$-ko-KR]yyyy-mm-dd(ddd) ") &amp; "오후 19:00"</f>
        <v>2021-05-15(토) 오후 19:00</v>
      </c>
      <c r="H96" s="250"/>
      <c r="I96" s="251"/>
      <c r="J96" s="249" t="str">
        <f>TEXT($G$1, "[$-ko-KR]yyyy-mm-dd(ddd) ") &amp; "오후 21:00"</f>
        <v>2021-05-15(토) 오후 21:00</v>
      </c>
      <c r="K96" s="250"/>
      <c r="L96" s="251"/>
      <c r="M96" s="249" t="str">
        <f>TEXT($G$1+1, "[$-ko-KR]yyyy-mm-dd(ddd) ") &amp; "오전 00:00"</f>
        <v>2021-05-16(일) 오전 00:00</v>
      </c>
      <c r="N96" s="250"/>
      <c r="O96" s="251"/>
      <c r="Q96" s="270"/>
      <c r="R96" s="270"/>
      <c r="S96" s="270"/>
    </row>
    <row r="97" spans="1:19" ht="17.25" thickBot="1">
      <c r="A97" s="311"/>
      <c r="B97" s="120" t="s">
        <v>58</v>
      </c>
      <c r="C97" s="121" t="s">
        <v>59</v>
      </c>
      <c r="D97" s="120" t="s">
        <v>58</v>
      </c>
      <c r="E97" s="121" t="s">
        <v>299</v>
      </c>
      <c r="F97" s="240" t="s">
        <v>300</v>
      </c>
      <c r="G97" s="233" t="s">
        <v>58</v>
      </c>
      <c r="H97" s="234" t="s">
        <v>299</v>
      </c>
      <c r="I97" s="235" t="s">
        <v>300</v>
      </c>
      <c r="J97" s="121" t="s">
        <v>58</v>
      </c>
      <c r="K97" s="121" t="s">
        <v>299</v>
      </c>
      <c r="L97" s="238" t="s">
        <v>300</v>
      </c>
      <c r="M97" s="120" t="s">
        <v>58</v>
      </c>
      <c r="N97" s="121" t="s">
        <v>299</v>
      </c>
      <c r="O97" s="239" t="s">
        <v>300</v>
      </c>
      <c r="Q97" s="275"/>
      <c r="R97" s="275"/>
      <c r="S97" s="275"/>
    </row>
    <row r="98" spans="1:19" ht="17.25" thickBot="1">
      <c r="A98" s="122" t="s">
        <v>102</v>
      </c>
      <c r="B98" s="123">
        <v>129600</v>
      </c>
      <c r="C98" s="72">
        <v>0.1363437089</v>
      </c>
      <c r="D98" s="123">
        <v>132750</v>
      </c>
      <c r="E98" s="72">
        <f>IF(ISNUMBER(D98), (D98 - $B98) / $B98, "")</f>
        <v>2.4305555555555556E-2</v>
      </c>
      <c r="F98" s="140">
        <f>IF(ISNUMBER(D98), $B118 * E98, "")</f>
        <v>3645.8333333333335</v>
      </c>
      <c r="G98" s="38">
        <v>128450</v>
      </c>
      <c r="H98" s="72">
        <f>IF(ISNUMBER(G98), (G98 - $B98) / $B98, "")</f>
        <v>-8.8734567901234563E-3</v>
      </c>
      <c r="I98" s="201">
        <f>IF(ISNUMBER(G98), $B118 * H98, "")</f>
        <v>-1331.0185185185185</v>
      </c>
      <c r="J98" s="123">
        <v>129250</v>
      </c>
      <c r="K98" s="72">
        <f>IF(ISNUMBER(J98), (J98 - $B98) / $B98, "")</f>
        <v>-2.7006172839506171E-3</v>
      </c>
      <c r="L98" s="140">
        <f>IF(ISNUMBER(J98), $B118 * K98, "")</f>
        <v>-405.09259259259255</v>
      </c>
      <c r="M98" s="38">
        <v>127600</v>
      </c>
      <c r="N98" s="72">
        <f>IF(ISNUMBER(M98), (M98 - $B98) / $B98, "")</f>
        <v>-1.5432098765432098E-2</v>
      </c>
      <c r="O98" s="140">
        <f>IF(ISNUMBER(M98), $B118 * N98, "")</f>
        <v>-2314.8148148148148</v>
      </c>
      <c r="Q98" s="270"/>
      <c r="R98" s="270"/>
      <c r="S98" s="270"/>
    </row>
    <row r="99" spans="1:19" ht="17.25" thickBot="1">
      <c r="A99" s="124" t="s">
        <v>186</v>
      </c>
      <c r="B99" s="125">
        <v>23.4</v>
      </c>
      <c r="C99" s="73">
        <v>0.1090047393</v>
      </c>
      <c r="D99" s="125">
        <v>23</v>
      </c>
      <c r="E99" s="73">
        <f t="shared" ref="E99:E102" si="60">IF(ISNUMBER(D99), (D99 - $B99) / $B99, "")</f>
        <v>-1.7094017094017033E-2</v>
      </c>
      <c r="F99" s="136">
        <f>IF(ISNUMBER(D99), $B118 * E99, "")</f>
        <v>-2564.1025641025549</v>
      </c>
      <c r="G99" s="39">
        <v>22.3</v>
      </c>
      <c r="H99" s="73">
        <f t="shared" ref="H99:H102" si="61">IF(ISNUMBER(G99), (G99 - $B99) / $B99, "")</f>
        <v>-4.7008547008546918E-2</v>
      </c>
      <c r="I99" s="202">
        <f>IF(ISNUMBER(G99), $B118 * H99, "")</f>
        <v>-7051.2820512820381</v>
      </c>
      <c r="J99" s="125">
        <v>22.3</v>
      </c>
      <c r="K99" s="73">
        <f t="shared" ref="K99:K102" si="62">IF(ISNUMBER(J99), (J99 - $B99) / $B99, "")</f>
        <v>-4.7008547008546918E-2</v>
      </c>
      <c r="L99" s="136">
        <f>IF(ISNUMBER(J99), $B118 * K99, "")</f>
        <v>-7051.2820512820381</v>
      </c>
      <c r="M99" s="39">
        <v>22.4</v>
      </c>
      <c r="N99" s="73">
        <f t="shared" ref="N99:N102" si="63">IF(ISNUMBER(M99), (M99 - $B99) / $B99, "")</f>
        <v>-4.2735042735042736E-2</v>
      </c>
      <c r="O99" s="136">
        <f>IF(ISNUMBER(M99), $B118 * N99, "")</f>
        <v>-6410.2564102564102</v>
      </c>
      <c r="Q99" s="270"/>
      <c r="R99" s="270"/>
      <c r="S99" s="270"/>
    </row>
    <row r="100" spans="1:19" ht="17.25" thickBot="1">
      <c r="A100" s="124" t="s">
        <v>296</v>
      </c>
      <c r="B100" s="125">
        <v>662</v>
      </c>
      <c r="C100" s="73">
        <v>7.4675324700000004E-2</v>
      </c>
      <c r="D100" s="125">
        <v>661</v>
      </c>
      <c r="E100" s="73">
        <f t="shared" si="60"/>
        <v>-1.5105740181268882E-3</v>
      </c>
      <c r="F100" s="136">
        <f>IF(ISNUMBER(D100), $B118 * E100, "")</f>
        <v>-226.58610271903322</v>
      </c>
      <c r="G100" s="39">
        <v>636</v>
      </c>
      <c r="H100" s="73">
        <f t="shared" si="61"/>
        <v>-3.9274924471299093E-2</v>
      </c>
      <c r="I100" s="202">
        <f>IF(ISNUMBER(G100), $B118 * H100, "")</f>
        <v>-5891.2386706948637</v>
      </c>
      <c r="J100" s="125">
        <v>643</v>
      </c>
      <c r="K100" s="73">
        <f t="shared" si="62"/>
        <v>-2.8700906344410877E-2</v>
      </c>
      <c r="L100" s="136">
        <f>IF(ISNUMBER(J100), $B118 * K100, "")</f>
        <v>-4305.1359516616312</v>
      </c>
      <c r="M100" s="39">
        <v>643</v>
      </c>
      <c r="N100" s="73">
        <f t="shared" si="63"/>
        <v>-2.8700906344410877E-2</v>
      </c>
      <c r="O100" s="136">
        <f>IF(ISNUMBER(M100), $B118 * N100, "")</f>
        <v>-4305.1359516616312</v>
      </c>
      <c r="Q100" s="275"/>
      <c r="R100" s="275"/>
      <c r="S100" s="275"/>
    </row>
    <row r="101" spans="1:19" ht="17.25" thickBot="1">
      <c r="A101" s="124" t="s">
        <v>108</v>
      </c>
      <c r="B101" s="125">
        <v>55130</v>
      </c>
      <c r="C101" s="73">
        <v>6.4285714300000005E-2</v>
      </c>
      <c r="D101" s="125">
        <v>54740</v>
      </c>
      <c r="E101" s="73">
        <f t="shared" si="60"/>
        <v>-7.0741882822419732E-3</v>
      </c>
      <c r="F101" s="136">
        <f>IF(ISNUMBER(D101), $B118 * E101, "")</f>
        <v>-1061.1282423362959</v>
      </c>
      <c r="G101" s="39">
        <v>53370</v>
      </c>
      <c r="H101" s="73">
        <f t="shared" si="61"/>
        <v>-3.1924541991656084E-2</v>
      </c>
      <c r="I101" s="202">
        <f>IF(ISNUMBER(G101), $B118 * H101, "")</f>
        <v>-4788.6812987484127</v>
      </c>
      <c r="J101" s="125">
        <v>54150</v>
      </c>
      <c r="K101" s="73">
        <f t="shared" si="62"/>
        <v>-1.7776165427172138E-2</v>
      </c>
      <c r="L101" s="136">
        <f>IF(ISNUMBER(J101), $B118 * K101, "")</f>
        <v>-2666.4248140758209</v>
      </c>
      <c r="M101" s="39">
        <v>53680</v>
      </c>
      <c r="N101" s="73">
        <f t="shared" si="63"/>
        <v>-2.6301469254489389E-2</v>
      </c>
      <c r="O101" s="136">
        <f>IF(ISNUMBER(M101), $B118 * N101, "")</f>
        <v>-3945.2203881734085</v>
      </c>
      <c r="Q101" s="275"/>
      <c r="R101" s="275"/>
      <c r="S101" s="275"/>
    </row>
    <row r="102" spans="1:19" ht="17.25" thickBot="1">
      <c r="A102" s="126" t="s">
        <v>126</v>
      </c>
      <c r="B102" s="127">
        <v>52</v>
      </c>
      <c r="C102" s="74">
        <v>5.9063136500000002E-2</v>
      </c>
      <c r="D102" s="127">
        <v>50.8</v>
      </c>
      <c r="E102" s="74">
        <f t="shared" si="60"/>
        <v>-2.307692307692313E-2</v>
      </c>
      <c r="F102" s="203">
        <f>IF(ISNUMBER(D102), $B118 * E102, "")</f>
        <v>-3461.5384615384696</v>
      </c>
      <c r="G102" s="44">
        <v>49</v>
      </c>
      <c r="H102" s="74">
        <f t="shared" si="61"/>
        <v>-5.7692307692307696E-2</v>
      </c>
      <c r="I102" s="204">
        <f>IF(ISNUMBER(G102), $B118 * H102, "")</f>
        <v>-8653.8461538461543</v>
      </c>
      <c r="J102" s="127">
        <v>49.7</v>
      </c>
      <c r="K102" s="74">
        <f t="shared" si="62"/>
        <v>-4.4230769230769178E-2</v>
      </c>
      <c r="L102" s="203">
        <f>IF(ISNUMBER(J102), $B118 * K102, "")</f>
        <v>-6634.6153846153766</v>
      </c>
      <c r="M102" s="44">
        <v>49.7</v>
      </c>
      <c r="N102" s="74">
        <f t="shared" si="63"/>
        <v>-4.4230769230769178E-2</v>
      </c>
      <c r="O102" s="203">
        <f>IF(ISNUMBER(M102), $B118 * N102, "")</f>
        <v>-6634.6153846153766</v>
      </c>
      <c r="Q102" s="275"/>
      <c r="R102" s="275"/>
      <c r="S102" s="275"/>
    </row>
    <row r="103" spans="1:19" ht="17.25" thickBot="1">
      <c r="A103" s="124" t="s">
        <v>138</v>
      </c>
      <c r="B103" s="128">
        <v>53360</v>
      </c>
      <c r="C103" s="76">
        <v>5.4962435699999999E-2</v>
      </c>
      <c r="D103" s="128">
        <v>60120</v>
      </c>
      <c r="E103" s="76">
        <f>IF(ISNUMBER(D103), (D103 - $B103) / $B103, "")</f>
        <v>0.12668665667166418</v>
      </c>
      <c r="F103" s="205">
        <f>IF(ISNUMBER(D103), $B118 * E103, "")</f>
        <v>19002.998500749625</v>
      </c>
      <c r="G103" s="45">
        <v>56540</v>
      </c>
      <c r="H103" s="76">
        <f>IF(ISNUMBER(G103), (G103 - $B103) / $B103, "")</f>
        <v>5.9595202398800597E-2</v>
      </c>
      <c r="I103" s="206">
        <f>IF(ISNUMBER(G103), $B118 * H103, "")</f>
        <v>8939.2803598200899</v>
      </c>
      <c r="J103" s="128">
        <v>57010</v>
      </c>
      <c r="K103" s="76">
        <f>IF(ISNUMBER(J103), (J103 - $B103) / $B103, "")</f>
        <v>6.8403298350824593E-2</v>
      </c>
      <c r="L103" s="205">
        <f>IF(ISNUMBER(J103), $B118 * K103, "")</f>
        <v>10260.494752623688</v>
      </c>
      <c r="M103" s="45">
        <v>58900</v>
      </c>
      <c r="N103" s="76">
        <f>IF(ISNUMBER(M103), (M103 - $B103) / $B103, "")</f>
        <v>0.10382308845577211</v>
      </c>
      <c r="O103" s="205">
        <f>IF(ISNUMBER(M103), $B118 * N103, "")</f>
        <v>15573.463268365816</v>
      </c>
      <c r="Q103" s="275"/>
      <c r="R103" s="275"/>
      <c r="S103" s="275"/>
    </row>
    <row r="104" spans="1:19" ht="17.25" thickBot="1">
      <c r="A104" s="124" t="s">
        <v>96</v>
      </c>
      <c r="B104" s="125">
        <v>4977000</v>
      </c>
      <c r="C104" s="73">
        <v>5.4225799599999999E-2</v>
      </c>
      <c r="D104" s="125">
        <v>4982000</v>
      </c>
      <c r="E104" s="73">
        <f t="shared" ref="E104:E107" si="64">IF(ISNUMBER(D104), (D104 - $B104) / $B104, "")</f>
        <v>1.0046212577858146E-3</v>
      </c>
      <c r="F104" s="136">
        <f>IF(ISNUMBER(D104), $B118 * E104, "")</f>
        <v>150.69318866787219</v>
      </c>
      <c r="G104" s="39">
        <v>4801000</v>
      </c>
      <c r="H104" s="73">
        <f t="shared" ref="H104:H107" si="65">IF(ISNUMBER(G104), (G104 - $B104) / $B104, "")</f>
        <v>-3.5362668274060677E-2</v>
      </c>
      <c r="I104" s="202">
        <f>IF(ISNUMBER(G104), $B118 * H104, "")</f>
        <v>-5304.4002411091014</v>
      </c>
      <c r="J104" s="125">
        <v>4861000</v>
      </c>
      <c r="K104" s="73">
        <f t="shared" ref="K104:K107" si="66">IF(ISNUMBER(J104), (J104 - $B104) / $B104, "")</f>
        <v>-2.3307213180630903E-2</v>
      </c>
      <c r="L104" s="136">
        <f>IF(ISNUMBER(J104), $B118 * K104, "")</f>
        <v>-3496.0819770946355</v>
      </c>
      <c r="M104" s="39">
        <v>4820000</v>
      </c>
      <c r="N104" s="73">
        <f t="shared" ref="N104:N107" si="67">IF(ISNUMBER(M104), (M104 - $B104) / $B104, "")</f>
        <v>-3.1545107494474582E-2</v>
      </c>
      <c r="O104" s="136">
        <f>IF(ISNUMBER(M104), $B118 * N104, "")</f>
        <v>-4731.7661241711876</v>
      </c>
      <c r="Q104" s="275"/>
      <c r="R104" s="275"/>
      <c r="S104" s="275"/>
    </row>
    <row r="105" spans="1:19" ht="17.25" thickBot="1">
      <c r="A105" s="124" t="s">
        <v>136</v>
      </c>
      <c r="B105" s="125">
        <v>243</v>
      </c>
      <c r="C105" s="73">
        <v>5.19480519E-2</v>
      </c>
      <c r="D105" s="125">
        <v>239</v>
      </c>
      <c r="E105" s="73">
        <f t="shared" si="64"/>
        <v>-1.646090534979424E-2</v>
      </c>
      <c r="F105" s="136">
        <f>IF(ISNUMBER(D105), $B118 * E105, "")</f>
        <v>-2469.1358024691358</v>
      </c>
      <c r="G105" s="39">
        <v>232</v>
      </c>
      <c r="H105" s="73">
        <f t="shared" si="65"/>
        <v>-4.5267489711934158E-2</v>
      </c>
      <c r="I105" s="202">
        <f>IF(ISNUMBER(G105), $B118 * H105, "")</f>
        <v>-6790.1234567901238</v>
      </c>
      <c r="J105" s="125">
        <v>235</v>
      </c>
      <c r="K105" s="73">
        <f t="shared" si="66"/>
        <v>-3.292181069958848E-2</v>
      </c>
      <c r="L105" s="136">
        <f>IF(ISNUMBER(J105), $B118 * K105, "")</f>
        <v>-4938.2716049382716</v>
      </c>
      <c r="M105" s="39">
        <v>235</v>
      </c>
      <c r="N105" s="73">
        <f t="shared" si="67"/>
        <v>-3.292181069958848E-2</v>
      </c>
      <c r="O105" s="136">
        <f>IF(ISNUMBER(M105), $B118 * N105, "")</f>
        <v>-4938.2716049382716</v>
      </c>
      <c r="Q105" s="275"/>
      <c r="R105" s="275"/>
      <c r="S105" s="275"/>
    </row>
    <row r="106" spans="1:19" ht="17.25" thickBot="1">
      <c r="A106" s="124" t="s">
        <v>240</v>
      </c>
      <c r="B106" s="125">
        <v>159</v>
      </c>
      <c r="C106" s="73">
        <v>4.6052631599999998E-2</v>
      </c>
      <c r="D106" s="125">
        <v>162</v>
      </c>
      <c r="E106" s="73">
        <f t="shared" si="64"/>
        <v>1.8867924528301886E-2</v>
      </c>
      <c r="F106" s="136">
        <f>IF(ISNUMBER(D106), $B118 * E106, "")</f>
        <v>2830.1886792452829</v>
      </c>
      <c r="G106" s="39">
        <v>157</v>
      </c>
      <c r="H106" s="73">
        <f t="shared" si="65"/>
        <v>-1.2578616352201259E-2</v>
      </c>
      <c r="I106" s="202">
        <f>IF(ISNUMBER(G106), $B118 * H106, "")</f>
        <v>-1886.7924528301887</v>
      </c>
      <c r="J106" s="125">
        <v>159</v>
      </c>
      <c r="K106" s="73">
        <f t="shared" si="66"/>
        <v>0</v>
      </c>
      <c r="L106" s="136">
        <f>IF(ISNUMBER(J106), $B118 * K106, "")</f>
        <v>0</v>
      </c>
      <c r="M106" s="39">
        <v>157</v>
      </c>
      <c r="N106" s="73">
        <f t="shared" si="67"/>
        <v>-1.2578616352201259E-2</v>
      </c>
      <c r="O106" s="136">
        <f>IF(ISNUMBER(M106), $B118 * N106, "")</f>
        <v>-1886.7924528301887</v>
      </c>
      <c r="Q106" s="33"/>
      <c r="R106" s="33"/>
    </row>
    <row r="107" spans="1:19" ht="17.25" thickBot="1">
      <c r="A107" s="129" t="s">
        <v>94</v>
      </c>
      <c r="B107" s="130">
        <v>124950</v>
      </c>
      <c r="C107" s="75">
        <v>4.4732441499999998E-2</v>
      </c>
      <c r="D107" s="130">
        <v>128000</v>
      </c>
      <c r="E107" s="75">
        <f t="shared" si="64"/>
        <v>2.4409763905562223E-2</v>
      </c>
      <c r="F107" s="137">
        <f>IF(ISNUMBER(D107), $B118 * E107, "")</f>
        <v>3661.4645858343333</v>
      </c>
      <c r="G107" s="37">
        <v>120650</v>
      </c>
      <c r="H107" s="75">
        <f t="shared" si="65"/>
        <v>-3.4413765506202482E-2</v>
      </c>
      <c r="I107" s="207">
        <f>IF(ISNUMBER(G107), $B118 * H107, "")</f>
        <v>-5162.0648259303725</v>
      </c>
      <c r="J107" s="130">
        <v>122150</v>
      </c>
      <c r="K107" s="75">
        <f t="shared" si="66"/>
        <v>-2.2408963585434174E-2</v>
      </c>
      <c r="L107" s="137">
        <f>IF(ISNUMBER(J107), $B118 * K107, "")</f>
        <v>-3361.3445378151259</v>
      </c>
      <c r="M107" s="37">
        <v>123200</v>
      </c>
      <c r="N107" s="75">
        <f t="shared" si="67"/>
        <v>-1.4005602240896359E-2</v>
      </c>
      <c r="O107" s="137">
        <f>IF(ISNUMBER(M107), $B118 * N107, "")</f>
        <v>-2100.840336134454</v>
      </c>
      <c r="Q107" s="284"/>
      <c r="R107" s="285"/>
      <c r="S107" s="286"/>
    </row>
    <row r="108" spans="1:19">
      <c r="A108" s="122" t="s">
        <v>260</v>
      </c>
      <c r="B108" s="123">
        <v>123</v>
      </c>
      <c r="C108" s="72">
        <v>4.23728814E-2</v>
      </c>
      <c r="D108" s="123">
        <v>131</v>
      </c>
      <c r="E108" s="72">
        <f>IF(ISNUMBER(D108), (D108 - $B108) / $B108, "")</f>
        <v>6.5040650406504072E-2</v>
      </c>
      <c r="F108" s="140">
        <f>IF(ISNUMBER(D108), $B118 * E108, "")</f>
        <v>9756.0975609756115</v>
      </c>
      <c r="G108" s="38">
        <v>127</v>
      </c>
      <c r="H108" s="72">
        <f>IF(ISNUMBER(G108), (G108 - $B108) / $B108, "")</f>
        <v>3.2520325203252036E-2</v>
      </c>
      <c r="I108" s="201">
        <f>IF(ISNUMBER(G108), $B118 * H108, "")</f>
        <v>4878.0487804878057</v>
      </c>
      <c r="J108" s="123">
        <v>128</v>
      </c>
      <c r="K108" s="72">
        <f>IF(ISNUMBER(J108), (J108 - $B108) / $B108, "")</f>
        <v>4.065040650406504E-2</v>
      </c>
      <c r="L108" s="140">
        <f>IF(ISNUMBER(J108), $B118 * K108, "")</f>
        <v>6097.5609756097556</v>
      </c>
      <c r="M108" s="38">
        <v>131</v>
      </c>
      <c r="N108" s="72">
        <f>IF(ISNUMBER(M108), (M108 - $B108) / $B108, "")</f>
        <v>6.5040650406504072E-2</v>
      </c>
      <c r="O108" s="140">
        <f>IF(ISNUMBER(M108), $B118 * N108, "")</f>
        <v>9756.0975609756115</v>
      </c>
      <c r="Q108" s="287"/>
      <c r="R108" s="288"/>
      <c r="S108" s="289"/>
    </row>
    <row r="109" spans="1:19" ht="17.25" thickBot="1">
      <c r="A109" s="124" t="s">
        <v>146</v>
      </c>
      <c r="B109" s="125">
        <v>16280</v>
      </c>
      <c r="C109" s="73">
        <v>3.7603569199999999E-2</v>
      </c>
      <c r="D109" s="125">
        <v>16080</v>
      </c>
      <c r="E109" s="73">
        <f t="shared" ref="E109:E112" si="68">IF(ISNUMBER(D109), (D109 - $B109) / $B109, "")</f>
        <v>-1.2285012285012284E-2</v>
      </c>
      <c r="F109" s="136">
        <f>IF(ISNUMBER(D109), $B118 * E109, "")</f>
        <v>-1842.7518427518426</v>
      </c>
      <c r="G109" s="39">
        <v>15630</v>
      </c>
      <c r="H109" s="73">
        <f t="shared" ref="H109:H112" si="69">IF(ISNUMBER(G109), (G109 - $B109) / $B109, "")</f>
        <v>-3.9926289926289923E-2</v>
      </c>
      <c r="I109" s="202">
        <f>IF(ISNUMBER(G109), $B118 * H109, "")</f>
        <v>-5988.9434889434888</v>
      </c>
      <c r="J109" s="125">
        <v>15790</v>
      </c>
      <c r="K109" s="73">
        <f t="shared" ref="K109:K112" si="70">IF(ISNUMBER(J109), (J109 - $B109) / $B109, "")</f>
        <v>-3.0098280098280097E-2</v>
      </c>
      <c r="L109" s="136">
        <f>IF(ISNUMBER(J109), $B118 * K109, "")</f>
        <v>-4514.7420147420144</v>
      </c>
      <c r="M109" s="39">
        <v>15790</v>
      </c>
      <c r="N109" s="73">
        <f t="shared" ref="N109:N112" si="71">IF(ISNUMBER(M109), (M109 - $B109) / $B109, "")</f>
        <v>-3.0098280098280097E-2</v>
      </c>
      <c r="O109" s="136">
        <f>IF(ISNUMBER(M109), $B118 * N109, "")</f>
        <v>-4514.7420147420144</v>
      </c>
      <c r="Q109" s="290"/>
      <c r="R109" s="291"/>
      <c r="S109" s="292"/>
    </row>
    <row r="110" spans="1:19" ht="17.25" thickBot="1">
      <c r="A110" s="124" t="s">
        <v>284</v>
      </c>
      <c r="B110" s="125">
        <v>422</v>
      </c>
      <c r="C110" s="73">
        <v>3.6855036899999999E-2</v>
      </c>
      <c r="D110" s="125">
        <v>412</v>
      </c>
      <c r="E110" s="73">
        <f t="shared" si="68"/>
        <v>-2.3696682464454975E-2</v>
      </c>
      <c r="F110" s="136">
        <f>IF(ISNUMBER(D110), $B118 * E110, "")</f>
        <v>-3554.502369668246</v>
      </c>
      <c r="G110" s="39">
        <v>402</v>
      </c>
      <c r="H110" s="73">
        <f t="shared" si="69"/>
        <v>-4.7393364928909949E-2</v>
      </c>
      <c r="I110" s="202">
        <f>IF(ISNUMBER(G110), $B118 * H110, "")</f>
        <v>-7109.0047393364921</v>
      </c>
      <c r="J110" s="125">
        <v>403</v>
      </c>
      <c r="K110" s="73">
        <f t="shared" si="70"/>
        <v>-4.5023696682464455E-2</v>
      </c>
      <c r="L110" s="136">
        <f>IF(ISNUMBER(J110), $B118 * K110, "")</f>
        <v>-6753.5545023696686</v>
      </c>
      <c r="M110" s="39">
        <v>407</v>
      </c>
      <c r="N110" s="73">
        <f t="shared" si="71"/>
        <v>-3.5545023696682464E-2</v>
      </c>
      <c r="O110" s="136">
        <f>IF(ISNUMBER(M110), $B118 * N110, "")</f>
        <v>-5331.7535545023693</v>
      </c>
      <c r="Q110" s="275"/>
      <c r="R110" s="275"/>
      <c r="S110" s="275"/>
    </row>
    <row r="111" spans="1:19" ht="17.25" thickBot="1">
      <c r="A111" s="124" t="s">
        <v>76</v>
      </c>
      <c r="B111" s="125">
        <v>56700</v>
      </c>
      <c r="C111" s="73">
        <v>3.2975040999999997E-2</v>
      </c>
      <c r="D111" s="125">
        <v>58060</v>
      </c>
      <c r="E111" s="73">
        <f t="shared" si="68"/>
        <v>2.398589065255732E-2</v>
      </c>
      <c r="F111" s="136">
        <f>IF(ISNUMBER(D111), $B118 * E111, "")</f>
        <v>3597.8835978835982</v>
      </c>
      <c r="G111" s="39">
        <v>54960</v>
      </c>
      <c r="H111" s="73">
        <f t="shared" si="69"/>
        <v>-3.0687830687830688E-2</v>
      </c>
      <c r="I111" s="202">
        <f>IF(ISNUMBER(G111), $B118 * H111, "")</f>
        <v>-4603.1746031746034</v>
      </c>
      <c r="J111" s="125">
        <v>54650</v>
      </c>
      <c r="K111" s="73">
        <f t="shared" si="70"/>
        <v>-3.6155202821869487E-2</v>
      </c>
      <c r="L111" s="136">
        <f>IF(ISNUMBER(J111), $B118 * K111, "")</f>
        <v>-5423.2804232804228</v>
      </c>
      <c r="M111" s="39">
        <v>55020</v>
      </c>
      <c r="N111" s="73">
        <f t="shared" si="71"/>
        <v>-2.9629629629629631E-2</v>
      </c>
      <c r="O111" s="136">
        <f>IF(ISNUMBER(M111), $B118 * N111, "")</f>
        <v>-4444.4444444444443</v>
      </c>
      <c r="Q111" s="270"/>
      <c r="R111" s="270"/>
      <c r="S111" s="270"/>
    </row>
    <row r="112" spans="1:19" ht="17.25" thickBot="1">
      <c r="A112" s="126" t="s">
        <v>144</v>
      </c>
      <c r="B112" s="127">
        <v>12630</v>
      </c>
      <c r="C112" s="74">
        <v>3.1020408199999999E-2</v>
      </c>
      <c r="D112" s="127">
        <v>12630</v>
      </c>
      <c r="E112" s="74">
        <f t="shared" si="68"/>
        <v>0</v>
      </c>
      <c r="F112" s="203">
        <f>IF(ISNUMBER(D112), $B118 * E112, "")</f>
        <v>0</v>
      </c>
      <c r="G112" s="44">
        <v>12190</v>
      </c>
      <c r="H112" s="74">
        <f t="shared" si="69"/>
        <v>-3.4837688044338878E-2</v>
      </c>
      <c r="I112" s="204">
        <f>IF(ISNUMBER(G112), $B118 * H112, "")</f>
        <v>-5225.6532066508316</v>
      </c>
      <c r="J112" s="127">
        <v>12320</v>
      </c>
      <c r="K112" s="74">
        <f t="shared" si="70"/>
        <v>-2.4544734758511481E-2</v>
      </c>
      <c r="L112" s="203">
        <f>IF(ISNUMBER(J112), $B118 * K112, "")</f>
        <v>-3681.7102137767224</v>
      </c>
      <c r="M112" s="44">
        <v>12410</v>
      </c>
      <c r="N112" s="74">
        <f t="shared" si="71"/>
        <v>-1.7418844022169439E-2</v>
      </c>
      <c r="O112" s="203">
        <f>IF(ISNUMBER(M112), $B118 * N112, "")</f>
        <v>-2612.8266033254158</v>
      </c>
      <c r="Q112" s="270"/>
      <c r="R112" s="270"/>
      <c r="S112" s="270"/>
    </row>
    <row r="113" spans="1:19" ht="17.25" thickBot="1">
      <c r="A113" s="124" t="s">
        <v>152</v>
      </c>
      <c r="B113" s="128">
        <v>39.9</v>
      </c>
      <c r="C113" s="76">
        <v>2.8350515499999999E-2</v>
      </c>
      <c r="D113" s="128">
        <v>39.200000000000003</v>
      </c>
      <c r="E113" s="76">
        <f>IF(ISNUMBER(D113), (D113 - $B113) / $B113, "")</f>
        <v>-1.7543859649122702E-2</v>
      </c>
      <c r="F113" s="205">
        <f>IF(ISNUMBER(D113), $B118 * E113, "")</f>
        <v>-2631.5789473684054</v>
      </c>
      <c r="G113" s="45">
        <v>37.4</v>
      </c>
      <c r="H113" s="76">
        <f>IF(ISNUMBER(G113), (G113 - $B113) / $B113, "")</f>
        <v>-6.2656641604010022E-2</v>
      </c>
      <c r="I113" s="206">
        <f>IF(ISNUMBER(G113), $B118 * H113, "")</f>
        <v>-9398.4962406015038</v>
      </c>
      <c r="J113" s="128">
        <v>37.6</v>
      </c>
      <c r="K113" s="76">
        <f>IF(ISNUMBER(J113), (J113 - $B113) / $B113, "")</f>
        <v>-5.764411027568915E-2</v>
      </c>
      <c r="L113" s="205">
        <f>IF(ISNUMBER(J113), $B118 * K113, "")</f>
        <v>-8646.6165413533727</v>
      </c>
      <c r="M113" s="45">
        <v>37.9</v>
      </c>
      <c r="N113" s="76">
        <f>IF(ISNUMBER(M113), (M113 - $B113) / $B113, "")</f>
        <v>-5.0125313283208024E-2</v>
      </c>
      <c r="O113" s="205">
        <f>IF(ISNUMBER(M113), $B118 * N113, "")</f>
        <v>-7518.7969924812032</v>
      </c>
      <c r="Q113" s="275"/>
      <c r="R113" s="275"/>
      <c r="S113" s="275"/>
    </row>
    <row r="114" spans="1:19" ht="17.25" thickBot="1">
      <c r="A114" s="124" t="s">
        <v>116</v>
      </c>
      <c r="B114" s="125">
        <v>552</v>
      </c>
      <c r="C114" s="73">
        <v>2.7932960900000001E-2</v>
      </c>
      <c r="D114" s="125">
        <v>574</v>
      </c>
      <c r="E114" s="73">
        <f t="shared" ref="E114:E117" si="72">IF(ISNUMBER(D114), (D114 - $B114) / $B114, "")</f>
        <v>3.9855072463768113E-2</v>
      </c>
      <c r="F114" s="136">
        <f>IF(ISNUMBER(D114), $B118 * E114, "")</f>
        <v>5978.260869565217</v>
      </c>
      <c r="G114" s="39">
        <v>569</v>
      </c>
      <c r="H114" s="73">
        <f t="shared" ref="H114:H117" si="73">IF(ISNUMBER(G114), (G114 - $B114) / $B114, "")</f>
        <v>3.0797101449275364E-2</v>
      </c>
      <c r="I114" s="202">
        <f>IF(ISNUMBER(G114), $B118 * H114, "")</f>
        <v>4619.5652173913049</v>
      </c>
      <c r="J114" s="125">
        <v>606</v>
      </c>
      <c r="K114" s="73">
        <f t="shared" ref="K114:K117" si="74">IF(ISNUMBER(J114), (J114 - $B114) / $B114, "")</f>
        <v>9.7826086956521743E-2</v>
      </c>
      <c r="L114" s="136">
        <f>IF(ISNUMBER(J114), $B118 * K114, "")</f>
        <v>14673.913043478262</v>
      </c>
      <c r="M114" s="39">
        <v>588</v>
      </c>
      <c r="N114" s="73">
        <f t="shared" ref="N114:N117" si="75">IF(ISNUMBER(M114), (M114 - $B114) / $B114, "")</f>
        <v>6.5217391304347824E-2</v>
      </c>
      <c r="O114" s="136">
        <f>IF(ISNUMBER(M114), $B118 * N114, "")</f>
        <v>9782.608695652174</v>
      </c>
      <c r="Q114" s="275"/>
      <c r="R114" s="275"/>
      <c r="S114" s="275"/>
    </row>
    <row r="115" spans="1:19" ht="17.25" thickBot="1">
      <c r="A115" s="124" t="s">
        <v>216</v>
      </c>
      <c r="B115" s="125">
        <v>444</v>
      </c>
      <c r="C115" s="73">
        <v>2.77777778E-2</v>
      </c>
      <c r="D115" s="125">
        <v>438</v>
      </c>
      <c r="E115" s="73">
        <f t="shared" si="72"/>
        <v>-1.3513513513513514E-2</v>
      </c>
      <c r="F115" s="136">
        <f>IF(ISNUMBER(D115), $B118 * E115, "")</f>
        <v>-2027.0270270270271</v>
      </c>
      <c r="G115" s="39">
        <v>426</v>
      </c>
      <c r="H115" s="73">
        <f t="shared" si="73"/>
        <v>-4.0540540540540543E-2</v>
      </c>
      <c r="I115" s="202">
        <f>IF(ISNUMBER(G115), $B118 * H115, "")</f>
        <v>-6081.0810810810817</v>
      </c>
      <c r="J115" s="125">
        <v>435</v>
      </c>
      <c r="K115" s="73">
        <f t="shared" si="74"/>
        <v>-2.0270270270270271E-2</v>
      </c>
      <c r="L115" s="136">
        <f>IF(ISNUMBER(J115), $B118 * K115, "")</f>
        <v>-3040.5405405405409</v>
      </c>
      <c r="M115" s="39">
        <v>438</v>
      </c>
      <c r="N115" s="73">
        <f t="shared" si="75"/>
        <v>-1.3513513513513514E-2</v>
      </c>
      <c r="O115" s="136">
        <f>IF(ISNUMBER(M115), $B118 * N115, "")</f>
        <v>-2027.0270270270271</v>
      </c>
      <c r="Q115" s="275"/>
      <c r="R115" s="275"/>
      <c r="S115" s="275"/>
    </row>
    <row r="116" spans="1:19">
      <c r="A116" s="124" t="s">
        <v>106</v>
      </c>
      <c r="B116" s="125">
        <v>2105</v>
      </c>
      <c r="C116" s="73">
        <v>2.68292683E-2</v>
      </c>
      <c r="D116" s="125">
        <v>2060</v>
      </c>
      <c r="E116" s="73">
        <f t="shared" si="72"/>
        <v>-2.1377672209026127E-2</v>
      </c>
      <c r="F116" s="136">
        <f>IF(ISNUMBER(D116), $B118 * E116, "")</f>
        <v>-3206.6508313539189</v>
      </c>
      <c r="G116" s="39">
        <v>1980</v>
      </c>
      <c r="H116" s="73">
        <f t="shared" si="73"/>
        <v>-5.9382422802850353E-2</v>
      </c>
      <c r="I116" s="202">
        <f>IF(ISNUMBER(G116), $B118 * H116, "")</f>
        <v>-8907.3634204275531</v>
      </c>
      <c r="J116" s="125">
        <v>1995</v>
      </c>
      <c r="K116" s="73">
        <f t="shared" si="74"/>
        <v>-5.2256532066508314E-2</v>
      </c>
      <c r="L116" s="136">
        <f>IF(ISNUMBER(J116), $B118 * K116, "")</f>
        <v>-7838.4798099762475</v>
      </c>
      <c r="M116" s="39">
        <v>2020</v>
      </c>
      <c r="N116" s="73">
        <f t="shared" si="75"/>
        <v>-4.0380047505938245E-2</v>
      </c>
      <c r="O116" s="136">
        <f>IF(ISNUMBER(M116), $B118 * N116, "")</f>
        <v>-6057.0071258907365</v>
      </c>
      <c r="Q116" s="297"/>
      <c r="R116" s="298"/>
      <c r="S116" s="299"/>
    </row>
    <row r="117" spans="1:19" ht="17.25" thickBot="1">
      <c r="A117" s="129" t="s">
        <v>262</v>
      </c>
      <c r="B117" s="130">
        <v>1150</v>
      </c>
      <c r="C117" s="75">
        <v>2.6785714299999999E-2</v>
      </c>
      <c r="D117" s="130">
        <v>1120</v>
      </c>
      <c r="E117" s="75">
        <f t="shared" si="72"/>
        <v>-2.6086956521739129E-2</v>
      </c>
      <c r="F117" s="137">
        <f>IF(ISNUMBER(D117), $B118 * E117, "")</f>
        <v>-3913.0434782608695</v>
      </c>
      <c r="G117" s="37">
        <v>1085</v>
      </c>
      <c r="H117" s="75">
        <f t="shared" si="73"/>
        <v>-5.6521739130434782E-2</v>
      </c>
      <c r="I117" s="207">
        <f>IF(ISNUMBER(G117), $B118 * H117, "")</f>
        <v>-8478.2608695652179</v>
      </c>
      <c r="J117" s="130">
        <v>1095</v>
      </c>
      <c r="K117" s="75">
        <f t="shared" si="74"/>
        <v>-4.7826086956521741E-2</v>
      </c>
      <c r="L117" s="137">
        <f>IF(ISNUMBER(J117), $B118 * K117, "")</f>
        <v>-7173.913043478261</v>
      </c>
      <c r="M117" s="37">
        <v>1105</v>
      </c>
      <c r="N117" s="75">
        <f t="shared" si="75"/>
        <v>-3.9130434782608699E-2</v>
      </c>
      <c r="O117" s="137">
        <f>IF(ISNUMBER(M117), $B118 * N117, "")</f>
        <v>-5869.5652173913049</v>
      </c>
      <c r="Q117" s="300"/>
      <c r="R117" s="301"/>
      <c r="S117" s="302"/>
    </row>
    <row r="118" spans="1:19" ht="17.25" thickBot="1">
      <c r="A118" s="131" t="s">
        <v>301</v>
      </c>
      <c r="B118" s="308">
        <f>$B$37</f>
        <v>150000</v>
      </c>
      <c r="C118" s="309"/>
      <c r="D118" s="131" t="s">
        <v>302</v>
      </c>
      <c r="E118" s="236">
        <f>IF(COUNT(E98:E117), SUM(E98:E117) / COUNT(E98:E117), 0)</f>
        <v>7.2217915488863626E-3</v>
      </c>
      <c r="F118" s="208">
        <f>SUM(F98:F117)</f>
        <v>21665.374646659075</v>
      </c>
      <c r="G118" s="131" t="s">
        <v>302</v>
      </c>
      <c r="H118" s="236">
        <f>IF(COUNT(H98:H117), SUM(H98:H117) / COUNT(H98:H117), 0)</f>
        <v>-2.8071510320610449E-2</v>
      </c>
      <c r="I118" s="208">
        <f>SUM(I98:I117)</f>
        <v>-84214.530961831348</v>
      </c>
      <c r="J118" s="131" t="s">
        <v>302</v>
      </c>
      <c r="K118" s="236">
        <f>IF(COUNT(K98:K117), SUM(K98:K117) / COUNT(K98:K117), 0)</f>
        <v>-1.6299705743960349E-2</v>
      </c>
      <c r="L118" s="208">
        <f>SUM(L98:L117)</f>
        <v>-48899.117231881042</v>
      </c>
      <c r="M118" s="131" t="s">
        <v>302</v>
      </c>
      <c r="N118" s="236">
        <f>IF(COUNT(N98:N117), SUM(N98:N117) / COUNT(N98:N117), 0)</f>
        <v>-1.3510568974135554E-2</v>
      </c>
      <c r="O118" s="208">
        <f>SUM(O98:O117)</f>
        <v>-40531.706922406651</v>
      </c>
      <c r="Q118" s="303"/>
      <c r="R118" s="304"/>
      <c r="S118" s="305"/>
    </row>
    <row r="120" spans="1:19" ht="17.25" thickBot="1"/>
    <row r="121" spans="1:19" ht="17.25" thickBot="1">
      <c r="A121" s="249" t="s">
        <v>288</v>
      </c>
      <c r="B121" s="250"/>
      <c r="C121" s="250"/>
      <c r="D121" s="250"/>
      <c r="E121" s="250"/>
      <c r="F121" s="250"/>
      <c r="G121" s="250"/>
      <c r="H121" s="250"/>
      <c r="I121" s="250"/>
      <c r="J121" s="250"/>
      <c r="K121" s="250"/>
      <c r="L121" s="250"/>
      <c r="M121" s="250"/>
      <c r="N121" s="250"/>
      <c r="O121" s="251"/>
      <c r="Q121" s="270"/>
      <c r="R121" s="270"/>
      <c r="S121" s="270"/>
    </row>
    <row r="122" spans="1:19" ht="17.25" thickBot="1">
      <c r="A122" s="233" t="s">
        <v>298</v>
      </c>
      <c r="B122" s="249" t="s">
        <v>49</v>
      </c>
      <c r="C122" s="251"/>
      <c r="D122" s="249" t="s">
        <v>58</v>
      </c>
      <c r="E122" s="250"/>
      <c r="F122" s="251"/>
      <c r="G122" s="276">
        <f>_xlfn.IFNA(VLOOKUP(B122, 현재가테이블!$B$2:$D$200, 2, FALSE), "-")</f>
        <v>60874000</v>
      </c>
      <c r="H122" s="277"/>
      <c r="I122" s="278"/>
      <c r="J122" s="249" t="s">
        <v>59</v>
      </c>
      <c r="K122" s="250"/>
      <c r="L122" s="251"/>
      <c r="M122" s="279">
        <f>_xlfn.IFNA(VLOOKUP(B122, 현재가테이블!$B$2:$D$200, 3, FALSE), "-")</f>
        <v>-1.4936000099999999E-2</v>
      </c>
      <c r="N122" s="280"/>
      <c r="O122" s="281"/>
      <c r="Q122" s="270"/>
      <c r="R122" s="270"/>
      <c r="S122" s="270"/>
    </row>
    <row r="123" spans="1:19" ht="17.25" thickBot="1">
      <c r="A123" s="310" t="s">
        <v>55</v>
      </c>
      <c r="B123" s="312" t="str">
        <f>TEXT($G$1, "[$-ko-KR]yyyy-mm-dd(ddd) ") &amp; "오전 00:00"</f>
        <v>2021-05-15(토) 오전 00:00</v>
      </c>
      <c r="C123" s="313"/>
      <c r="D123" s="249" t="str">
        <f>TEXT($G$1, "[$-ko-KR]yyyy-mm-dd(ddd) ") &amp; "오후 14:00"</f>
        <v>2021-05-15(토) 오후 14:00</v>
      </c>
      <c r="E123" s="250"/>
      <c r="F123" s="251"/>
      <c r="G123" s="249" t="str">
        <f>TEXT($G$1, "[$-ko-KR]yyyy-mm-dd(ddd) ") &amp; "오후 19:00"</f>
        <v>2021-05-15(토) 오후 19:00</v>
      </c>
      <c r="H123" s="250"/>
      <c r="I123" s="251"/>
      <c r="J123" s="249" t="str">
        <f>TEXT($G$1, "[$-ko-KR]yyyy-mm-dd(ddd) ") &amp; "오후 21:00"</f>
        <v>2021-05-15(토) 오후 21:00</v>
      </c>
      <c r="K123" s="250"/>
      <c r="L123" s="251"/>
      <c r="M123" s="249" t="str">
        <f>TEXT($G$1+1, "[$-ko-KR]yyyy-mm-dd(ddd) ") &amp; "오전 00:00"</f>
        <v>2021-05-16(일) 오전 00:00</v>
      </c>
      <c r="N123" s="250"/>
      <c r="O123" s="251"/>
      <c r="Q123" s="270"/>
      <c r="R123" s="270"/>
      <c r="S123" s="270"/>
    </row>
    <row r="124" spans="1:19" ht="17.25" thickBot="1">
      <c r="A124" s="311"/>
      <c r="B124" s="120" t="s">
        <v>58</v>
      </c>
      <c r="C124" s="121" t="s">
        <v>59</v>
      </c>
      <c r="D124" s="120" t="s">
        <v>58</v>
      </c>
      <c r="E124" s="121" t="s">
        <v>299</v>
      </c>
      <c r="F124" s="240" t="s">
        <v>300</v>
      </c>
      <c r="G124" s="233" t="s">
        <v>58</v>
      </c>
      <c r="H124" s="234" t="s">
        <v>299</v>
      </c>
      <c r="I124" s="235" t="s">
        <v>300</v>
      </c>
      <c r="J124" s="121" t="s">
        <v>58</v>
      </c>
      <c r="K124" s="121" t="s">
        <v>299</v>
      </c>
      <c r="L124" s="238" t="s">
        <v>300</v>
      </c>
      <c r="M124" s="120" t="s">
        <v>58</v>
      </c>
      <c r="N124" s="121" t="s">
        <v>299</v>
      </c>
      <c r="O124" s="239" t="s">
        <v>300</v>
      </c>
      <c r="Q124" s="275"/>
      <c r="R124" s="275"/>
      <c r="S124" s="275"/>
    </row>
    <row r="125" spans="1:19" ht="17.25" thickBot="1">
      <c r="A125" s="122" t="s">
        <v>186</v>
      </c>
      <c r="B125" s="123">
        <v>23.4</v>
      </c>
      <c r="C125" s="72">
        <v>0.1090047393</v>
      </c>
      <c r="D125" s="123">
        <v>23</v>
      </c>
      <c r="E125" s="72">
        <f>IF(ISNUMBER(D125), (D125 - $B125) / $B125, "")</f>
        <v>-1.7094017094017033E-2</v>
      </c>
      <c r="F125" s="140">
        <f>IF(ISNUMBER(D125), $B145 * E125, "")</f>
        <v>-2564.1025641025549</v>
      </c>
      <c r="G125" s="38">
        <v>22.3</v>
      </c>
      <c r="H125" s="72">
        <f>IF(ISNUMBER(G125), (G125 - $B125) / $B125, "")</f>
        <v>-4.7008547008546918E-2</v>
      </c>
      <c r="I125" s="201">
        <f>IF(ISNUMBER(G125), $B145 * H125, "")</f>
        <v>-7051.2820512820381</v>
      </c>
      <c r="J125" s="123">
        <v>22.3</v>
      </c>
      <c r="K125" s="72">
        <f>IF(ISNUMBER(J125), (J125 - $B125) / $B125, "")</f>
        <v>-4.7008547008546918E-2</v>
      </c>
      <c r="L125" s="140">
        <f>IF(ISNUMBER(J125), $B145 * K125, "")</f>
        <v>-7051.2820512820381</v>
      </c>
      <c r="M125" s="38">
        <v>22.4</v>
      </c>
      <c r="N125" s="72">
        <f>IF(ISNUMBER(M125), (M125 - $B125) / $B125, "")</f>
        <v>-4.2735042735042736E-2</v>
      </c>
      <c r="O125" s="140">
        <f>IF(ISNUMBER(M125), $B145 * N125, "")</f>
        <v>-6410.2564102564102</v>
      </c>
      <c r="Q125" s="270"/>
      <c r="R125" s="270"/>
      <c r="S125" s="270"/>
    </row>
    <row r="126" spans="1:19" ht="17.25" thickBot="1">
      <c r="A126" s="124" t="s">
        <v>126</v>
      </c>
      <c r="B126" s="125">
        <v>52</v>
      </c>
      <c r="C126" s="73">
        <v>5.9063136500000002E-2</v>
      </c>
      <c r="D126" s="125">
        <v>50.8</v>
      </c>
      <c r="E126" s="73">
        <f t="shared" ref="E126:E129" si="76">IF(ISNUMBER(D126), (D126 - $B126) / $B126, "")</f>
        <v>-2.307692307692313E-2</v>
      </c>
      <c r="F126" s="136">
        <f>IF(ISNUMBER(D126), $B145 * E126, "")</f>
        <v>-3461.5384615384696</v>
      </c>
      <c r="G126" s="39">
        <v>49</v>
      </c>
      <c r="H126" s="73">
        <f t="shared" ref="H126:H129" si="77">IF(ISNUMBER(G126), (G126 - $B126) / $B126, "")</f>
        <v>-5.7692307692307696E-2</v>
      </c>
      <c r="I126" s="202">
        <f>IF(ISNUMBER(G126), $B145 * H126, "")</f>
        <v>-8653.8461538461543</v>
      </c>
      <c r="J126" s="125">
        <v>49.7</v>
      </c>
      <c r="K126" s="73">
        <f t="shared" ref="K126:K129" si="78">IF(ISNUMBER(J126), (J126 - $B126) / $B126, "")</f>
        <v>-4.4230769230769178E-2</v>
      </c>
      <c r="L126" s="136">
        <f>IF(ISNUMBER(J126), $B145 * K126, "")</f>
        <v>-6634.6153846153766</v>
      </c>
      <c r="M126" s="39">
        <v>49.7</v>
      </c>
      <c r="N126" s="73">
        <f t="shared" ref="N126:N129" si="79">IF(ISNUMBER(M126), (M126 - $B126) / $B126, "")</f>
        <v>-4.4230769230769178E-2</v>
      </c>
      <c r="O126" s="136">
        <f>IF(ISNUMBER(M126), $B145 * N126, "")</f>
        <v>-6634.6153846153766</v>
      </c>
      <c r="Q126" s="270"/>
      <c r="R126" s="270"/>
      <c r="S126" s="270"/>
    </row>
    <row r="127" spans="1:19" ht="17.25" thickBot="1">
      <c r="A127" s="124" t="s">
        <v>152</v>
      </c>
      <c r="B127" s="125">
        <v>39.9</v>
      </c>
      <c r="C127" s="73">
        <v>2.8350515499999999E-2</v>
      </c>
      <c r="D127" s="125">
        <v>39.200000000000003</v>
      </c>
      <c r="E127" s="73">
        <f t="shared" si="76"/>
        <v>-1.7543859649122702E-2</v>
      </c>
      <c r="F127" s="136">
        <f>IF(ISNUMBER(D127), $B145 * E127, "")</f>
        <v>-2631.5789473684054</v>
      </c>
      <c r="G127" s="39">
        <v>37.4</v>
      </c>
      <c r="H127" s="73">
        <f t="shared" si="77"/>
        <v>-6.2656641604010022E-2</v>
      </c>
      <c r="I127" s="202">
        <f>IF(ISNUMBER(G127), $B145 * H127, "")</f>
        <v>-9398.4962406015038</v>
      </c>
      <c r="J127" s="125">
        <v>37.6</v>
      </c>
      <c r="K127" s="73">
        <f t="shared" si="78"/>
        <v>-5.764411027568915E-2</v>
      </c>
      <c r="L127" s="136">
        <f>IF(ISNUMBER(J127), $B145 * K127, "")</f>
        <v>-8646.6165413533727</v>
      </c>
      <c r="M127" s="39">
        <v>37.9</v>
      </c>
      <c r="N127" s="73">
        <f t="shared" si="79"/>
        <v>-5.0125313283208024E-2</v>
      </c>
      <c r="O127" s="136">
        <f>IF(ISNUMBER(M127), $B145 * N127, "")</f>
        <v>-7518.7969924812032</v>
      </c>
      <c r="Q127" s="275"/>
      <c r="R127" s="275"/>
      <c r="S127" s="275"/>
    </row>
    <row r="128" spans="1:19" ht="17.25" thickBot="1">
      <c r="A128" s="124" t="s">
        <v>220</v>
      </c>
      <c r="B128" s="125">
        <v>17.899999999999999</v>
      </c>
      <c r="C128" s="73">
        <v>2.2857142899999999E-2</v>
      </c>
      <c r="D128" s="125">
        <v>18.7</v>
      </c>
      <c r="E128" s="73">
        <f t="shared" si="76"/>
        <v>4.4692737430167641E-2</v>
      </c>
      <c r="F128" s="136">
        <f>IF(ISNUMBER(D128), $B145 * E128, "")</f>
        <v>6703.9106145251462</v>
      </c>
      <c r="G128" s="39">
        <v>18.3</v>
      </c>
      <c r="H128" s="73">
        <f t="shared" si="77"/>
        <v>2.2346368715083921E-2</v>
      </c>
      <c r="I128" s="202">
        <f>IF(ISNUMBER(G128), $B145 * H128, "")</f>
        <v>3351.9553072625881</v>
      </c>
      <c r="J128" s="125">
        <v>18.7</v>
      </c>
      <c r="K128" s="73">
        <f t="shared" si="78"/>
        <v>4.4692737430167641E-2</v>
      </c>
      <c r="L128" s="136">
        <f>IF(ISNUMBER(J128), $B145 * K128, "")</f>
        <v>6703.9106145251462</v>
      </c>
      <c r="M128" s="39">
        <v>18.399999999999999</v>
      </c>
      <c r="N128" s="73">
        <f t="shared" si="79"/>
        <v>2.793296089385475E-2</v>
      </c>
      <c r="O128" s="136">
        <f>IF(ISNUMBER(M128), $B145 * N128, "")</f>
        <v>4189.9441340782123</v>
      </c>
      <c r="Q128" s="275"/>
      <c r="R128" s="275"/>
      <c r="S128" s="275"/>
    </row>
    <row r="129" spans="1:19" ht="17.25" thickBot="1">
      <c r="A129" s="126" t="s">
        <v>222</v>
      </c>
      <c r="B129" s="127">
        <v>16.100000000000001</v>
      </c>
      <c r="C129" s="74">
        <v>1.2578616399999999E-2</v>
      </c>
      <c r="D129" s="127">
        <v>16</v>
      </c>
      <c r="E129" s="74">
        <f t="shared" si="76"/>
        <v>-6.2111801242236905E-3</v>
      </c>
      <c r="F129" s="203">
        <f>IF(ISNUMBER(D129), $B145 * E129, "")</f>
        <v>-931.67701863355353</v>
      </c>
      <c r="G129" s="44">
        <v>15.7</v>
      </c>
      <c r="H129" s="74">
        <f t="shared" si="77"/>
        <v>-2.484472049689454E-2</v>
      </c>
      <c r="I129" s="204">
        <f>IF(ISNUMBER(G129), $B145 * H129, "")</f>
        <v>-3726.7080745341809</v>
      </c>
      <c r="J129" s="127">
        <v>15.7</v>
      </c>
      <c r="K129" s="74">
        <f t="shared" si="78"/>
        <v>-2.484472049689454E-2</v>
      </c>
      <c r="L129" s="203">
        <f>IF(ISNUMBER(J129), $B145 * K129, "")</f>
        <v>-3726.7080745341809</v>
      </c>
      <c r="M129" s="44">
        <v>15.7</v>
      </c>
      <c r="N129" s="74">
        <f t="shared" si="79"/>
        <v>-2.484472049689454E-2</v>
      </c>
      <c r="O129" s="203">
        <f>IF(ISNUMBER(M129), $B145 * N129, "")</f>
        <v>-3726.7080745341809</v>
      </c>
      <c r="Q129" s="275"/>
      <c r="R129" s="275"/>
      <c r="S129" s="275"/>
    </row>
    <row r="130" spans="1:19" ht="17.25" thickBot="1">
      <c r="A130" s="124" t="s">
        <v>65</v>
      </c>
      <c r="B130" s="128">
        <v>64.400000000000006</v>
      </c>
      <c r="C130" s="76">
        <v>1.0989011E-2</v>
      </c>
      <c r="D130" s="128">
        <v>63.8</v>
      </c>
      <c r="E130" s="76">
        <f>IF(ISNUMBER(D130), (D130 - $B130) / $B130, "")</f>
        <v>-9.3167701863355358E-3</v>
      </c>
      <c r="F130" s="205">
        <f>IF(ISNUMBER(D130), $B145 * E130, "")</f>
        <v>-1397.5155279503304</v>
      </c>
      <c r="G130" s="45">
        <v>61.1</v>
      </c>
      <c r="H130" s="76">
        <f>IF(ISNUMBER(G130), (G130 - $B130) / $B130, "")</f>
        <v>-5.1242236024844783E-2</v>
      </c>
      <c r="I130" s="206">
        <f>IF(ISNUMBER(G130), $B145 * H130, "")</f>
        <v>-7686.3354037267172</v>
      </c>
      <c r="J130" s="128">
        <v>61.4</v>
      </c>
      <c r="K130" s="76">
        <f>IF(ISNUMBER(J130), (J130 - $B130) / $B130, "")</f>
        <v>-4.6583850931677127E-2</v>
      </c>
      <c r="L130" s="205">
        <f>IF(ISNUMBER(J130), $B145 * K130, "")</f>
        <v>-6987.5776397515692</v>
      </c>
      <c r="M130" s="45">
        <v>61.6</v>
      </c>
      <c r="N130" s="76">
        <f>IF(ISNUMBER(M130), (M130 - $B130) / $B130, "")</f>
        <v>-4.3478260869565279E-2</v>
      </c>
      <c r="O130" s="205">
        <f>IF(ISNUMBER(M130), $B145 * N130, "")</f>
        <v>-6521.7391304347921</v>
      </c>
      <c r="Q130" s="275"/>
      <c r="R130" s="275"/>
      <c r="S130" s="275"/>
    </row>
    <row r="131" spans="1:19" ht="17.25" thickBot="1">
      <c r="A131" s="124" t="s">
        <v>198</v>
      </c>
      <c r="B131" s="125">
        <v>24.1</v>
      </c>
      <c r="C131" s="73">
        <v>8.3682007999999995E-3</v>
      </c>
      <c r="D131" s="125">
        <v>24</v>
      </c>
      <c r="E131" s="73">
        <f t="shared" ref="E131:E134" si="80">IF(ISNUMBER(D131), (D131 - $B131) / $B131, "")</f>
        <v>-4.1493775933610548E-3</v>
      </c>
      <c r="F131" s="136">
        <f>IF(ISNUMBER(D131), $B145 * E131, "")</f>
        <v>-622.40663900415825</v>
      </c>
      <c r="G131" s="39">
        <v>23</v>
      </c>
      <c r="H131" s="73">
        <f t="shared" ref="H131:H134" si="81">IF(ISNUMBER(G131), (G131 - $B131) / $B131, "")</f>
        <v>-4.5643153526971007E-2</v>
      </c>
      <c r="I131" s="202">
        <f>IF(ISNUMBER(G131), $B145 * H131, "")</f>
        <v>-6846.4730290456509</v>
      </c>
      <c r="J131" s="125">
        <v>23.2</v>
      </c>
      <c r="K131" s="73">
        <f t="shared" ref="K131:K134" si="82">IF(ISNUMBER(J131), (J131 - $B131) / $B131, "")</f>
        <v>-3.7344398340249052E-2</v>
      </c>
      <c r="L131" s="136">
        <f>IF(ISNUMBER(J131), $B145 * K131, "")</f>
        <v>-5601.6597510373576</v>
      </c>
      <c r="M131" s="39">
        <v>23.4</v>
      </c>
      <c r="N131" s="73">
        <f t="shared" ref="N131:N134" si="83">IF(ISNUMBER(M131), (M131 - $B131) / $B131, "")</f>
        <v>-2.9045643153527086E-2</v>
      </c>
      <c r="O131" s="136">
        <f>IF(ISNUMBER(M131), $B145 * N131, "")</f>
        <v>-4356.8464730290625</v>
      </c>
      <c r="Q131" s="275"/>
      <c r="R131" s="275"/>
      <c r="S131" s="275"/>
    </row>
    <row r="132" spans="1:19" ht="17.25" thickBot="1">
      <c r="A132" s="124" t="s">
        <v>228</v>
      </c>
      <c r="B132" s="125">
        <v>16</v>
      </c>
      <c r="C132" s="73">
        <v>6.2893081999999996E-3</v>
      </c>
      <c r="D132" s="125">
        <v>15.9</v>
      </c>
      <c r="E132" s="73">
        <f t="shared" si="80"/>
        <v>-6.2499999999999778E-3</v>
      </c>
      <c r="F132" s="136">
        <f>IF(ISNUMBER(D132), $B145 * E132, "")</f>
        <v>-937.4999999999967</v>
      </c>
      <c r="G132" s="39">
        <v>15.3</v>
      </c>
      <c r="H132" s="73">
        <f t="shared" si="81"/>
        <v>-4.3749999999999956E-2</v>
      </c>
      <c r="I132" s="202">
        <f>IF(ISNUMBER(G132), $B145 * H132, "")</f>
        <v>-6562.4999999999936</v>
      </c>
      <c r="J132" s="125">
        <v>15.6</v>
      </c>
      <c r="K132" s="73">
        <f t="shared" si="82"/>
        <v>-2.5000000000000022E-2</v>
      </c>
      <c r="L132" s="136">
        <f>IF(ISNUMBER(J132), $B145 * K132, "")</f>
        <v>-3750.0000000000032</v>
      </c>
      <c r="M132" s="39">
        <v>15.4</v>
      </c>
      <c r="N132" s="73">
        <f t="shared" si="83"/>
        <v>-3.7499999999999978E-2</v>
      </c>
      <c r="O132" s="136">
        <f>IF(ISNUMBER(M132), $B145 * N132, "")</f>
        <v>-5624.9999999999964</v>
      </c>
      <c r="Q132" s="275"/>
      <c r="R132" s="275"/>
      <c r="S132" s="275"/>
    </row>
    <row r="133" spans="1:19" ht="17.25" thickBot="1">
      <c r="A133" s="124" t="s">
        <v>196</v>
      </c>
      <c r="B133" s="125">
        <v>17.8</v>
      </c>
      <c r="C133" s="73">
        <v>5.6497175E-3</v>
      </c>
      <c r="D133" s="125">
        <v>18.2</v>
      </c>
      <c r="E133" s="73">
        <f t="shared" si="80"/>
        <v>2.247191011235947E-2</v>
      </c>
      <c r="F133" s="136">
        <f>IF(ISNUMBER(D133), $B145 * E133, "")</f>
        <v>3370.7865168539206</v>
      </c>
      <c r="G133" s="39">
        <v>17.399999999999999</v>
      </c>
      <c r="H133" s="73">
        <f t="shared" si="81"/>
        <v>-2.2471910112359668E-2</v>
      </c>
      <c r="I133" s="202">
        <f>IF(ISNUMBER(G133), $B145 * H133, "")</f>
        <v>-3370.7865168539502</v>
      </c>
      <c r="J133" s="125">
        <v>17.5</v>
      </c>
      <c r="K133" s="73">
        <f t="shared" si="82"/>
        <v>-1.6853932584269701E-2</v>
      </c>
      <c r="L133" s="136">
        <f>IF(ISNUMBER(J133), $B145 * K133, "")</f>
        <v>-2528.0898876404549</v>
      </c>
      <c r="M133" s="39">
        <v>17.600000000000001</v>
      </c>
      <c r="N133" s="73">
        <f t="shared" si="83"/>
        <v>-1.1235955056179735E-2</v>
      </c>
      <c r="O133" s="136">
        <f>IF(ISNUMBER(M133), $B145 * N133, "")</f>
        <v>-1685.3932584269603</v>
      </c>
      <c r="Q133" s="33"/>
      <c r="R133" s="33"/>
    </row>
    <row r="134" spans="1:19" ht="17.25" thickBot="1">
      <c r="A134" s="129" t="s">
        <v>154</v>
      </c>
      <c r="B134" s="130">
        <v>17.8</v>
      </c>
      <c r="C134" s="75">
        <v>5.6497175E-3</v>
      </c>
      <c r="D134" s="130">
        <v>17.899999999999999</v>
      </c>
      <c r="E134" s="75">
        <f t="shared" si="80"/>
        <v>5.6179775280897678E-3</v>
      </c>
      <c r="F134" s="137">
        <f>IF(ISNUMBER(D134), $B145 * E134, "")</f>
        <v>842.69662921346514</v>
      </c>
      <c r="G134" s="37">
        <v>17.399999999999999</v>
      </c>
      <c r="H134" s="75">
        <f t="shared" si="81"/>
        <v>-2.2471910112359668E-2</v>
      </c>
      <c r="I134" s="207">
        <f>IF(ISNUMBER(G134), $B145 * H134, "")</f>
        <v>-3370.7865168539502</v>
      </c>
      <c r="J134" s="130">
        <v>17.5</v>
      </c>
      <c r="K134" s="75">
        <f t="shared" si="82"/>
        <v>-1.6853932584269701E-2</v>
      </c>
      <c r="L134" s="137">
        <f>IF(ISNUMBER(J134), $B145 * K134, "")</f>
        <v>-2528.0898876404549</v>
      </c>
      <c r="M134" s="37">
        <v>17.600000000000001</v>
      </c>
      <c r="N134" s="75">
        <f t="shared" si="83"/>
        <v>-1.1235955056179735E-2</v>
      </c>
      <c r="O134" s="137">
        <f>IF(ISNUMBER(M134), $B145 * N134, "")</f>
        <v>-1685.3932584269603</v>
      </c>
      <c r="Q134" s="284"/>
      <c r="R134" s="285"/>
      <c r="S134" s="286"/>
    </row>
    <row r="135" spans="1:19">
      <c r="A135" s="122" t="s">
        <v>218</v>
      </c>
      <c r="B135" s="123">
        <v>23.6</v>
      </c>
      <c r="C135" s="72">
        <v>4.2553191000000001E-3</v>
      </c>
      <c r="D135" s="123">
        <v>23.6</v>
      </c>
      <c r="E135" s="72">
        <f>IF(ISNUMBER(D135), (D135 - $B135) / $B135, "")</f>
        <v>0</v>
      </c>
      <c r="F135" s="140">
        <f>IF(ISNUMBER(D135), $B145 * E135, "")</f>
        <v>0</v>
      </c>
      <c r="G135" s="38">
        <v>22.7</v>
      </c>
      <c r="H135" s="72">
        <f>IF(ISNUMBER(G135), (G135 - $B135) / $B135, "")</f>
        <v>-3.8135593220339069E-2</v>
      </c>
      <c r="I135" s="201">
        <f>IF(ISNUMBER(G135), $B145 * H135, "")</f>
        <v>-5720.3389830508604</v>
      </c>
      <c r="J135" s="123">
        <v>22.9</v>
      </c>
      <c r="K135" s="72">
        <f>IF(ISNUMBER(J135), (J135 - $B135) / $B135, "")</f>
        <v>-2.9661016949152661E-2</v>
      </c>
      <c r="L135" s="140">
        <f>IF(ISNUMBER(J135), $B145 * K135, "")</f>
        <v>-4449.152542372899</v>
      </c>
      <c r="M135" s="38">
        <v>23</v>
      </c>
      <c r="N135" s="72">
        <f>IF(ISNUMBER(M135), (M135 - $B135) / $B135, "")</f>
        <v>-2.5423728813559379E-2</v>
      </c>
      <c r="O135" s="140">
        <f>IF(ISNUMBER(M135), $B145 * N135, "")</f>
        <v>-3813.5593220339069</v>
      </c>
      <c r="Q135" s="287"/>
      <c r="R135" s="288"/>
      <c r="S135" s="289"/>
    </row>
    <row r="136" spans="1:19" ht="17.25" thickBot="1">
      <c r="A136" s="124" t="s">
        <v>266</v>
      </c>
      <c r="B136" s="125">
        <v>85.5</v>
      </c>
      <c r="C136" s="73">
        <v>1.1709602E-3</v>
      </c>
      <c r="D136" s="125">
        <v>89.5</v>
      </c>
      <c r="E136" s="73">
        <f t="shared" ref="E136:E139" si="84">IF(ISNUMBER(D136), (D136 - $B136) / $B136, "")</f>
        <v>4.6783625730994149E-2</v>
      </c>
      <c r="F136" s="136">
        <f>IF(ISNUMBER(D136), $B145 * E136, "")</f>
        <v>7017.5438596491222</v>
      </c>
      <c r="G136" s="39">
        <v>86.9</v>
      </c>
      <c r="H136" s="73">
        <f t="shared" ref="H136:H139" si="85">IF(ISNUMBER(G136), (G136 - $B136) / $B136, "")</f>
        <v>1.637426900584802E-2</v>
      </c>
      <c r="I136" s="202">
        <f>IF(ISNUMBER(G136), $B145 * H136, "")</f>
        <v>2456.1403508772032</v>
      </c>
      <c r="J136" s="125">
        <v>88</v>
      </c>
      <c r="K136" s="73">
        <f t="shared" ref="K136:K139" si="86">IF(ISNUMBER(J136), (J136 - $B136) / $B136, "")</f>
        <v>2.9239766081871343E-2</v>
      </c>
      <c r="L136" s="136">
        <f>IF(ISNUMBER(J136), $B145 * K136, "")</f>
        <v>4385.9649122807014</v>
      </c>
      <c r="M136" s="39">
        <v>88</v>
      </c>
      <c r="N136" s="73">
        <f t="shared" ref="N136:N139" si="87">IF(ISNUMBER(M136), (M136 - $B136) / $B136, "")</f>
        <v>2.9239766081871343E-2</v>
      </c>
      <c r="O136" s="136">
        <f>IF(ISNUMBER(M136), $B145 * N136, "")</f>
        <v>4385.9649122807014</v>
      </c>
      <c r="Q136" s="290"/>
      <c r="R136" s="291"/>
      <c r="S136" s="292"/>
    </row>
    <row r="137" spans="1:19" ht="17.25" thickBot="1">
      <c r="A137" s="124" t="s">
        <v>100</v>
      </c>
      <c r="B137" s="125">
        <v>7.53</v>
      </c>
      <c r="C137" s="73">
        <v>-1.3262599000000001E-3</v>
      </c>
      <c r="D137" s="125">
        <v>7.41</v>
      </c>
      <c r="E137" s="73">
        <f t="shared" si="84"/>
        <v>-1.5936254980079695E-2</v>
      </c>
      <c r="F137" s="136">
        <f>IF(ISNUMBER(D137), $B145 * E137, "")</f>
        <v>-2390.4382470119544</v>
      </c>
      <c r="G137" s="39">
        <v>7.24</v>
      </c>
      <c r="H137" s="73">
        <f t="shared" si="85"/>
        <v>-3.851261620185923E-2</v>
      </c>
      <c r="I137" s="202">
        <f>IF(ISNUMBER(G137), $B145 * H137, "")</f>
        <v>-5776.8924302788846</v>
      </c>
      <c r="J137" s="125">
        <v>7.28</v>
      </c>
      <c r="K137" s="73">
        <f t="shared" si="86"/>
        <v>-3.3200531208499334E-2</v>
      </c>
      <c r="L137" s="136">
        <f>IF(ISNUMBER(J137), $B145 * K137, "")</f>
        <v>-4980.0796812749004</v>
      </c>
      <c r="M137" s="39">
        <v>7.38</v>
      </c>
      <c r="N137" s="73">
        <f t="shared" si="87"/>
        <v>-1.992031872509965E-2</v>
      </c>
      <c r="O137" s="136">
        <f>IF(ISNUMBER(M137), $B145 * N137, "")</f>
        <v>-2988.0478087649476</v>
      </c>
      <c r="Q137" s="275"/>
      <c r="R137" s="275"/>
      <c r="S137" s="275"/>
    </row>
    <row r="138" spans="1:19" ht="17.25" thickBot="1">
      <c r="A138" s="124" t="s">
        <v>254</v>
      </c>
      <c r="B138" s="125">
        <v>72.900000000000006</v>
      </c>
      <c r="C138" s="73">
        <v>-4.0983607000000003E-3</v>
      </c>
      <c r="D138" s="125">
        <v>74.7</v>
      </c>
      <c r="E138" s="73">
        <f t="shared" si="84"/>
        <v>2.4691358024691318E-2</v>
      </c>
      <c r="F138" s="136">
        <f>IF(ISNUMBER(D138), $B145 * E138, "")</f>
        <v>3703.7037037036976</v>
      </c>
      <c r="G138" s="39">
        <v>71.099999999999994</v>
      </c>
      <c r="H138" s="73">
        <f t="shared" si="85"/>
        <v>-2.4691358024691513E-2</v>
      </c>
      <c r="I138" s="202">
        <f>IF(ISNUMBER(G138), $B145 * H138, "")</f>
        <v>-3703.7037037037271</v>
      </c>
      <c r="J138" s="125">
        <v>71.8</v>
      </c>
      <c r="K138" s="73">
        <f t="shared" si="86"/>
        <v>-1.5089163237311501E-2</v>
      </c>
      <c r="L138" s="136">
        <f>IF(ISNUMBER(J138), $B145 * K138, "")</f>
        <v>-2263.3744855967252</v>
      </c>
      <c r="M138" s="39">
        <v>71.7</v>
      </c>
      <c r="N138" s="73">
        <f t="shared" si="87"/>
        <v>-1.6460905349794275E-2</v>
      </c>
      <c r="O138" s="136">
        <f>IF(ISNUMBER(M138), $B145 * N138, "")</f>
        <v>-2469.1358024691413</v>
      </c>
      <c r="Q138" s="270"/>
      <c r="R138" s="270"/>
      <c r="S138" s="270"/>
    </row>
    <row r="139" spans="1:19" ht="17.25" thickBot="1">
      <c r="A139" s="126" t="s">
        <v>214</v>
      </c>
      <c r="B139" s="127">
        <v>19.5</v>
      </c>
      <c r="C139" s="74">
        <v>-1.51515152E-2</v>
      </c>
      <c r="D139" s="127">
        <v>19.7</v>
      </c>
      <c r="E139" s="74">
        <f t="shared" si="84"/>
        <v>1.025641025641022E-2</v>
      </c>
      <c r="F139" s="203">
        <f>IF(ISNUMBER(D139), $B145 * E139, "")</f>
        <v>1538.4615384615331</v>
      </c>
      <c r="G139" s="44">
        <v>19</v>
      </c>
      <c r="H139" s="74">
        <f t="shared" si="85"/>
        <v>-2.564102564102564E-2</v>
      </c>
      <c r="I139" s="204">
        <f>IF(ISNUMBER(G139), $B145 * H139, "")</f>
        <v>-3846.1538461538462</v>
      </c>
      <c r="J139" s="127">
        <v>19.2</v>
      </c>
      <c r="K139" s="74">
        <f t="shared" si="86"/>
        <v>-1.5384615384615422E-2</v>
      </c>
      <c r="L139" s="203">
        <f>IF(ISNUMBER(J139), $B145 * K139, "")</f>
        <v>-2307.6923076923131</v>
      </c>
      <c r="M139" s="44">
        <v>19.100000000000001</v>
      </c>
      <c r="N139" s="74">
        <f t="shared" si="87"/>
        <v>-2.051282051282044E-2</v>
      </c>
      <c r="O139" s="203">
        <f>IF(ISNUMBER(M139), $B145 * N139, "")</f>
        <v>-3076.9230769230662</v>
      </c>
      <c r="Q139" s="270"/>
      <c r="R139" s="270"/>
      <c r="S139" s="270"/>
    </row>
    <row r="140" spans="1:19" ht="17.25" thickBot="1">
      <c r="A140" s="124" t="s">
        <v>72</v>
      </c>
      <c r="B140" s="128">
        <v>31.7</v>
      </c>
      <c r="C140" s="76">
        <v>-1.5527950299999999E-2</v>
      </c>
      <c r="D140" s="128">
        <v>32.1</v>
      </c>
      <c r="E140" s="76">
        <f>IF(ISNUMBER(D140), (D140 - $B140) / $B140, "")</f>
        <v>1.2618296529968522E-2</v>
      </c>
      <c r="F140" s="205">
        <f>IF(ISNUMBER(D140), $B145 * E140, "")</f>
        <v>1892.7444794952783</v>
      </c>
      <c r="G140" s="45">
        <v>30.6</v>
      </c>
      <c r="H140" s="76">
        <f>IF(ISNUMBER(G140), (G140 - $B140) / $B140, "")</f>
        <v>-3.4700315457413186E-2</v>
      </c>
      <c r="I140" s="206">
        <f>IF(ISNUMBER(G140), $B145 * H140, "")</f>
        <v>-5205.047318611978</v>
      </c>
      <c r="J140" s="128">
        <v>30.7</v>
      </c>
      <c r="K140" s="76">
        <f>IF(ISNUMBER(J140), (J140 - $B140) / $B140, "")</f>
        <v>-3.1545741324921134E-2</v>
      </c>
      <c r="L140" s="205">
        <f>IF(ISNUMBER(J140), $B145 * K140, "")</f>
        <v>-4731.8611987381701</v>
      </c>
      <c r="M140" s="45">
        <v>31.2</v>
      </c>
      <c r="N140" s="76">
        <f>IF(ISNUMBER(M140), (M140 - $B140) / $B140, "")</f>
        <v>-1.5772870662460567E-2</v>
      </c>
      <c r="O140" s="205">
        <f>IF(ISNUMBER(M140), $B145 * N140, "")</f>
        <v>-2365.930599369085</v>
      </c>
      <c r="Q140" s="275"/>
      <c r="R140" s="275"/>
      <c r="S140" s="275"/>
    </row>
    <row r="141" spans="1:19" ht="17.25" thickBot="1">
      <c r="A141" s="124" t="s">
        <v>268</v>
      </c>
      <c r="B141" s="125">
        <v>79.5</v>
      </c>
      <c r="C141" s="73">
        <v>-2.0935960600000001E-2</v>
      </c>
      <c r="D141" s="125">
        <v>80.900000000000006</v>
      </c>
      <c r="E141" s="73">
        <f t="shared" ref="E141:E144" si="88">IF(ISNUMBER(D141), (D141 - $B141) / $B141, "")</f>
        <v>1.7610062893081833E-2</v>
      </c>
      <c r="F141" s="136">
        <f>IF(ISNUMBER(D141), $B145 * E141, "")</f>
        <v>2641.5094339622751</v>
      </c>
      <c r="G141" s="39">
        <v>77.900000000000006</v>
      </c>
      <c r="H141" s="73">
        <f t="shared" ref="H141:H144" si="89">IF(ISNUMBER(G141), (G141 - $B141) / $B141, "")</f>
        <v>-2.0125786163521942E-2</v>
      </c>
      <c r="I141" s="202">
        <f>IF(ISNUMBER(G141), $B145 * H141, "")</f>
        <v>-3018.8679245282915</v>
      </c>
      <c r="J141" s="125">
        <v>78.400000000000006</v>
      </c>
      <c r="K141" s="73">
        <f t="shared" ref="K141:K144" si="90">IF(ISNUMBER(J141), (J141 - $B141) / $B141, "")</f>
        <v>-1.3836477987421313E-2</v>
      </c>
      <c r="L141" s="136">
        <f>IF(ISNUMBER(J141), $B145 * K141, "")</f>
        <v>-2075.4716981131969</v>
      </c>
      <c r="M141" s="39">
        <v>79</v>
      </c>
      <c r="N141" s="73">
        <f t="shared" ref="N141:N144" si="91">IF(ISNUMBER(M141), (M141 - $B141) / $B141, "")</f>
        <v>-6.2893081761006293E-3</v>
      </c>
      <c r="O141" s="136">
        <f>IF(ISNUMBER(M141), $B145 * N141, "")</f>
        <v>-943.39622641509436</v>
      </c>
      <c r="Q141" s="275"/>
      <c r="R141" s="275"/>
      <c r="S141" s="275"/>
    </row>
    <row r="142" spans="1:19" ht="17.25" thickBot="1">
      <c r="A142" s="124" t="s">
        <v>236</v>
      </c>
      <c r="B142" s="125">
        <v>69.099999999999994</v>
      </c>
      <c r="C142" s="73">
        <v>-4.2936288099999997E-2</v>
      </c>
      <c r="D142" s="125">
        <v>74.3</v>
      </c>
      <c r="E142" s="73">
        <f t="shared" si="88"/>
        <v>7.5253256150506556E-2</v>
      </c>
      <c r="F142" s="136">
        <f>IF(ISNUMBER(D142), $B145 * E142, "")</f>
        <v>11287.988422575983</v>
      </c>
      <c r="G142" s="39">
        <v>70</v>
      </c>
      <c r="H142" s="73">
        <f t="shared" si="89"/>
        <v>1.3024602026049287E-2</v>
      </c>
      <c r="I142" s="202">
        <f>IF(ISNUMBER(G142), $B145 * H142, "")</f>
        <v>1953.6903039073932</v>
      </c>
      <c r="J142" s="125">
        <v>70.7</v>
      </c>
      <c r="K142" s="73">
        <f t="shared" si="90"/>
        <v>2.3154848046309823E-2</v>
      </c>
      <c r="L142" s="136">
        <f>IF(ISNUMBER(J142), $B145 * K142, "")</f>
        <v>3473.2272069464734</v>
      </c>
      <c r="M142" s="39">
        <v>70.7</v>
      </c>
      <c r="N142" s="73">
        <f t="shared" si="91"/>
        <v>2.3154848046309823E-2</v>
      </c>
      <c r="O142" s="136">
        <f>IF(ISNUMBER(M142), $B145 * N142, "")</f>
        <v>3473.2272069464734</v>
      </c>
      <c r="Q142" s="275"/>
      <c r="R142" s="275"/>
      <c r="S142" s="275"/>
    </row>
    <row r="143" spans="1:19">
      <c r="A143" s="124" t="s">
        <v>172</v>
      </c>
      <c r="B143" s="125">
        <v>23</v>
      </c>
      <c r="C143" s="73">
        <v>-5.7377049200000002E-2</v>
      </c>
      <c r="D143" s="125">
        <v>22.9</v>
      </c>
      <c r="E143" s="73">
        <f t="shared" si="88"/>
        <v>-4.3478260869565834E-3</v>
      </c>
      <c r="F143" s="136">
        <f>IF(ISNUMBER(D143), $B145 * E143, "")</f>
        <v>-652.17391304348746</v>
      </c>
      <c r="G143" s="39">
        <v>22.4</v>
      </c>
      <c r="H143" s="73">
        <f t="shared" si="89"/>
        <v>-2.6086956521739191E-2</v>
      </c>
      <c r="I143" s="202">
        <f>IF(ISNUMBER(G143), $B145 * H143, "")</f>
        <v>-3913.0434782608786</v>
      </c>
      <c r="J143" s="125">
        <v>22.6</v>
      </c>
      <c r="K143" s="73">
        <f t="shared" si="90"/>
        <v>-1.7391304347826025E-2</v>
      </c>
      <c r="L143" s="136">
        <f>IF(ISNUMBER(J143), $B145 * K143, "")</f>
        <v>-2608.6956521739039</v>
      </c>
      <c r="M143" s="39">
        <v>22.5</v>
      </c>
      <c r="N143" s="73">
        <f t="shared" si="91"/>
        <v>-2.1739130434782608E-2</v>
      </c>
      <c r="O143" s="136">
        <f>IF(ISNUMBER(M143), $B145 * N143, "")</f>
        <v>-3260.869565217391</v>
      </c>
      <c r="Q143" s="297"/>
      <c r="R143" s="298"/>
      <c r="S143" s="299"/>
    </row>
    <row r="144" spans="1:19" ht="17.25" thickBot="1">
      <c r="A144" s="129"/>
      <c r="B144" s="130"/>
      <c r="C144" s="75"/>
      <c r="D144" s="130"/>
      <c r="E144" s="75" t="str">
        <f t="shared" si="88"/>
        <v/>
      </c>
      <c r="F144" s="137" t="str">
        <f>IF(ISNUMBER(D144), $B145 * E144, "")</f>
        <v/>
      </c>
      <c r="G144" s="37"/>
      <c r="H144" s="75" t="str">
        <f t="shared" si="89"/>
        <v/>
      </c>
      <c r="I144" s="207" t="str">
        <f>IF(ISNUMBER(G144), $B145 * H144, "")</f>
        <v/>
      </c>
      <c r="J144" s="130" t="s">
        <v>297</v>
      </c>
      <c r="K144" s="75" t="str">
        <f t="shared" si="90"/>
        <v/>
      </c>
      <c r="L144" s="137" t="str">
        <f>IF(ISNUMBER(J144), $B145 * K144, "")</f>
        <v/>
      </c>
      <c r="M144" s="37" t="s">
        <v>297</v>
      </c>
      <c r="N144" s="75" t="str">
        <f t="shared" si="91"/>
        <v/>
      </c>
      <c r="O144" s="137" t="str">
        <f>IF(ISNUMBER(M144), $B145 * N144, "")</f>
        <v/>
      </c>
      <c r="Q144" s="300"/>
      <c r="R144" s="301"/>
      <c r="S144" s="302"/>
    </row>
    <row r="145" spans="1:19" ht="17.25" thickBot="1">
      <c r="A145" s="131" t="s">
        <v>301</v>
      </c>
      <c r="B145" s="308">
        <f>$B$37</f>
        <v>150000</v>
      </c>
      <c r="C145" s="309"/>
      <c r="D145" s="131" t="s">
        <v>302</v>
      </c>
      <c r="E145" s="236">
        <f>IF(COUNT(E125:E144), SUM(E125:E144) / COUNT(E125:E144), 0)</f>
        <v>8.2141803086973747E-3</v>
      </c>
      <c r="F145" s="208">
        <f>SUM(F125:F144)</f>
        <v>23410.413879787513</v>
      </c>
      <c r="G145" s="131" t="s">
        <v>302</v>
      </c>
      <c r="H145" s="236">
        <f>IF(COUNT(H125:H144), SUM(H125:H144) / COUNT(H125:H144), 0)</f>
        <v>-2.8101570424310673E-2</v>
      </c>
      <c r="I145" s="208">
        <f>SUM(I125:I144)</f>
        <v>-80089.475709285427</v>
      </c>
      <c r="J145" s="131" t="s">
        <v>302</v>
      </c>
      <c r="K145" s="236">
        <f>IF(COUNT(K125:K144), SUM(K125:K144) / COUNT(K125:K144), 0)</f>
        <v>-1.9757145280724427E-2</v>
      </c>
      <c r="L145" s="208">
        <f>SUM(L125:L144)</f>
        <v>-56307.864050064592</v>
      </c>
      <c r="M145" s="131" t="s">
        <v>302</v>
      </c>
      <c r="N145" s="236">
        <f>IF(COUNT(N125:N144), SUM(N125:N144) / COUNT(N125:N144), 0)</f>
        <v>-1.7906482501786732E-2</v>
      </c>
      <c r="O145" s="208">
        <f>SUM(O125:O144)</f>
        <v>-51033.475130092178</v>
      </c>
      <c r="Q145" s="303"/>
      <c r="R145" s="304"/>
      <c r="S145" s="305"/>
    </row>
    <row r="147" spans="1:19" ht="17.25" thickBot="1"/>
    <row r="148" spans="1:19" ht="17.25" thickBot="1">
      <c r="A148" s="249" t="s">
        <v>289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1"/>
      <c r="Q148" s="270"/>
      <c r="R148" s="270"/>
      <c r="S148" s="270"/>
    </row>
    <row r="149" spans="1:19" ht="17.25" thickBot="1">
      <c r="A149" s="233" t="s">
        <v>298</v>
      </c>
      <c r="B149" s="249" t="s">
        <v>49</v>
      </c>
      <c r="C149" s="251"/>
      <c r="D149" s="249" t="s">
        <v>58</v>
      </c>
      <c r="E149" s="250"/>
      <c r="F149" s="251"/>
      <c r="G149" s="276">
        <f>_xlfn.IFNA(VLOOKUP(B149, 현재가테이블!$B$2:$D$200, 2, FALSE), "-")</f>
        <v>60874000</v>
      </c>
      <c r="H149" s="277"/>
      <c r="I149" s="278"/>
      <c r="J149" s="249" t="s">
        <v>59</v>
      </c>
      <c r="K149" s="250"/>
      <c r="L149" s="251"/>
      <c r="M149" s="279">
        <f>_xlfn.IFNA(VLOOKUP(B149, 현재가테이블!$B$2:$D$200, 3, FALSE), "-")</f>
        <v>-1.4936000099999999E-2</v>
      </c>
      <c r="N149" s="280"/>
      <c r="O149" s="281"/>
      <c r="Q149" s="270"/>
      <c r="R149" s="270"/>
      <c r="S149" s="270"/>
    </row>
    <row r="150" spans="1:19" ht="17.25" thickBot="1">
      <c r="A150" s="310" t="s">
        <v>55</v>
      </c>
      <c r="B150" s="312" t="str">
        <f>TEXT($G$1, "[$-ko-KR]yyyy-mm-dd(ddd) ") &amp; "오전 00:00"</f>
        <v>2021-05-15(토) 오전 00:00</v>
      </c>
      <c r="C150" s="313"/>
      <c r="D150" s="249" t="str">
        <f>TEXT($G$1, "[$-ko-KR]yyyy-mm-dd(ddd) ") &amp; "오후 14:00"</f>
        <v>2021-05-15(토) 오후 14:00</v>
      </c>
      <c r="E150" s="250"/>
      <c r="F150" s="251"/>
      <c r="G150" s="249" t="str">
        <f>TEXT($G$1, "[$-ko-KR]yyyy-mm-dd(ddd) ") &amp; "오후 19:00"</f>
        <v>2021-05-15(토) 오후 19:00</v>
      </c>
      <c r="H150" s="250"/>
      <c r="I150" s="251"/>
      <c r="J150" s="249" t="str">
        <f>TEXT($G$1, "[$-ko-KR]yyyy-mm-dd(ddd) ") &amp; "오후 21:00"</f>
        <v>2021-05-15(토) 오후 21:00</v>
      </c>
      <c r="K150" s="250"/>
      <c r="L150" s="251"/>
      <c r="M150" s="249" t="str">
        <f>TEXT($G$1+1, "[$-ko-KR]yyyy-mm-dd(ddd) ") &amp; "오전 00:00"</f>
        <v>2021-05-16(일) 오전 00:00</v>
      </c>
      <c r="N150" s="250"/>
      <c r="O150" s="251"/>
      <c r="Q150" s="270"/>
      <c r="R150" s="270"/>
      <c r="S150" s="270"/>
    </row>
    <row r="151" spans="1:19" ht="17.25" thickBot="1">
      <c r="A151" s="311"/>
      <c r="B151" s="120" t="s">
        <v>58</v>
      </c>
      <c r="C151" s="121" t="s">
        <v>59</v>
      </c>
      <c r="D151" s="120" t="s">
        <v>58</v>
      </c>
      <c r="E151" s="121" t="s">
        <v>299</v>
      </c>
      <c r="F151" s="240" t="s">
        <v>300</v>
      </c>
      <c r="G151" s="233" t="s">
        <v>58</v>
      </c>
      <c r="H151" s="234" t="s">
        <v>299</v>
      </c>
      <c r="I151" s="235" t="s">
        <v>300</v>
      </c>
      <c r="J151" s="121" t="s">
        <v>58</v>
      </c>
      <c r="K151" s="121" t="s">
        <v>299</v>
      </c>
      <c r="L151" s="238" t="s">
        <v>300</v>
      </c>
      <c r="M151" s="120" t="s">
        <v>58</v>
      </c>
      <c r="N151" s="121" t="s">
        <v>299</v>
      </c>
      <c r="O151" s="239" t="s">
        <v>300</v>
      </c>
      <c r="Q151" s="275"/>
      <c r="R151" s="275"/>
      <c r="S151" s="275"/>
    </row>
    <row r="152" spans="1:19" ht="17.25" thickBot="1">
      <c r="A152" s="122" t="s">
        <v>132</v>
      </c>
      <c r="B152" s="123">
        <v>229</v>
      </c>
      <c r="C152" s="72">
        <v>-4.3478261000000004E-3</v>
      </c>
      <c r="D152" s="123">
        <v>227</v>
      </c>
      <c r="E152" s="72">
        <f>IF(ISNUMBER(D152), (D152 - $B152) / $B152, "")</f>
        <v>-8.7336244541484712E-3</v>
      </c>
      <c r="F152" s="140">
        <f>IF(ISNUMBER(D152), $B172 * E152, "")</f>
        <v>-1310.0436681222707</v>
      </c>
      <c r="G152" s="38">
        <v>219</v>
      </c>
      <c r="H152" s="72">
        <f>IF(ISNUMBER(G152), (G152 - $B152) / $B152, "")</f>
        <v>-4.3668122270742356E-2</v>
      </c>
      <c r="I152" s="201">
        <f>IF(ISNUMBER(G152), $B172 * H152, "")</f>
        <v>-6550.2183406113536</v>
      </c>
      <c r="J152" s="123">
        <v>221</v>
      </c>
      <c r="K152" s="72">
        <f>IF(ISNUMBER(J152), (J152 - $B152) / $B152, "")</f>
        <v>-3.4934497816593885E-2</v>
      </c>
      <c r="L152" s="140">
        <f>IF(ISNUMBER(J152), $B172 * K152, "")</f>
        <v>-5240.1746724890827</v>
      </c>
      <c r="M152" s="38">
        <v>224</v>
      </c>
      <c r="N152" s="72">
        <f>IF(ISNUMBER(M152), (M152 - $B152) / $B152, "")</f>
        <v>-2.1834061135371178E-2</v>
      </c>
      <c r="O152" s="140">
        <f>IF(ISNUMBER(M152), $B172 * N152, "")</f>
        <v>-3275.1091703056768</v>
      </c>
      <c r="Q152" s="270"/>
      <c r="R152" s="270"/>
      <c r="S152" s="270"/>
    </row>
    <row r="153" spans="1:19" ht="17.25" thickBot="1">
      <c r="A153" s="124" t="s">
        <v>226</v>
      </c>
      <c r="B153" s="125">
        <v>431</v>
      </c>
      <c r="C153" s="73">
        <v>-4.6189376000000002E-3</v>
      </c>
      <c r="D153" s="125">
        <v>468</v>
      </c>
      <c r="E153" s="73">
        <f t="shared" ref="E153:E156" si="92">IF(ISNUMBER(D153), (D153 - $B153) / $B153, "")</f>
        <v>8.584686774941995E-2</v>
      </c>
      <c r="F153" s="136">
        <f>IF(ISNUMBER(D153), $B172 * E153, "")</f>
        <v>12877.030162412993</v>
      </c>
      <c r="G153" s="39">
        <v>453</v>
      </c>
      <c r="H153" s="73">
        <f t="shared" ref="H153:H156" si="93">IF(ISNUMBER(G153), (G153 - $B153) / $B153, "")</f>
        <v>5.1044083526682132E-2</v>
      </c>
      <c r="I153" s="202">
        <f>IF(ISNUMBER(G153), $B172 * H153, "")</f>
        <v>7656.6125290023201</v>
      </c>
      <c r="J153" s="125">
        <v>461</v>
      </c>
      <c r="K153" s="73">
        <f t="shared" ref="K153:K156" si="94">IF(ISNUMBER(J153), (J153 - $B153) / $B153, "")</f>
        <v>6.9605568445475635E-2</v>
      </c>
      <c r="L153" s="136">
        <f>IF(ISNUMBER(J153), $B172 * K153, "")</f>
        <v>10440.835266821345</v>
      </c>
      <c r="M153" s="39">
        <v>446</v>
      </c>
      <c r="N153" s="73">
        <f t="shared" ref="N153:N156" si="95">IF(ISNUMBER(M153), (M153 - $B153) / $B153, "")</f>
        <v>3.4802784222737818E-2</v>
      </c>
      <c r="O153" s="136">
        <f>IF(ISNUMBER(M153), $B172 * N153, "")</f>
        <v>5220.4176334106724</v>
      </c>
      <c r="Q153" s="270"/>
      <c r="R153" s="270"/>
      <c r="S153" s="270"/>
    </row>
    <row r="154" spans="1:19" ht="17.25" thickBot="1">
      <c r="A154" s="124" t="s">
        <v>170</v>
      </c>
      <c r="B154" s="125">
        <v>499</v>
      </c>
      <c r="C154" s="73">
        <v>-5.9760956E-3</v>
      </c>
      <c r="D154" s="125">
        <v>491</v>
      </c>
      <c r="E154" s="73">
        <f t="shared" si="92"/>
        <v>-1.6032064128256512E-2</v>
      </c>
      <c r="F154" s="136">
        <f>IF(ISNUMBER(D154), $B172 * E154, "")</f>
        <v>-2404.8096192384769</v>
      </c>
      <c r="G154" s="39">
        <v>465</v>
      </c>
      <c r="H154" s="73">
        <f t="shared" si="93"/>
        <v>-6.8136272545090179E-2</v>
      </c>
      <c r="I154" s="202">
        <f>IF(ISNUMBER(G154), $B172 * H154, "")</f>
        <v>-10220.440881763527</v>
      </c>
      <c r="J154" s="125">
        <v>467</v>
      </c>
      <c r="K154" s="73">
        <f t="shared" si="94"/>
        <v>-6.4128256513026047E-2</v>
      </c>
      <c r="L154" s="136">
        <f>IF(ISNUMBER(J154), $B172 * K154, "")</f>
        <v>-9619.2384769539076</v>
      </c>
      <c r="M154" s="39">
        <v>470</v>
      </c>
      <c r="N154" s="73">
        <f t="shared" si="95"/>
        <v>-5.8116232464929862E-2</v>
      </c>
      <c r="O154" s="136">
        <f>IF(ISNUMBER(M154), $B172 * N154, "")</f>
        <v>-8717.4348697394798</v>
      </c>
      <c r="Q154" s="275"/>
      <c r="R154" s="275"/>
      <c r="S154" s="275"/>
    </row>
    <row r="155" spans="1:19" ht="17.25" thickBot="1">
      <c r="A155" s="124" t="s">
        <v>210</v>
      </c>
      <c r="B155" s="125">
        <v>165</v>
      </c>
      <c r="C155" s="73">
        <v>-6.0240963999999998E-3</v>
      </c>
      <c r="D155" s="125">
        <v>176</v>
      </c>
      <c r="E155" s="73">
        <f t="shared" si="92"/>
        <v>6.6666666666666666E-2</v>
      </c>
      <c r="F155" s="136">
        <f>IF(ISNUMBER(D155), $B172 * E155, "")</f>
        <v>10000</v>
      </c>
      <c r="G155" s="39">
        <v>171</v>
      </c>
      <c r="H155" s="73">
        <f t="shared" si="93"/>
        <v>3.6363636363636362E-2</v>
      </c>
      <c r="I155" s="202">
        <f>IF(ISNUMBER(G155), $B172 * H155, "")</f>
        <v>5454.545454545454</v>
      </c>
      <c r="J155" s="125">
        <v>173</v>
      </c>
      <c r="K155" s="73">
        <f t="shared" si="94"/>
        <v>4.8484848484848485E-2</v>
      </c>
      <c r="L155" s="136">
        <f>IF(ISNUMBER(J155), $B172 * K155, "")</f>
        <v>7272.727272727273</v>
      </c>
      <c r="M155" s="39">
        <v>171</v>
      </c>
      <c r="N155" s="73">
        <f t="shared" si="95"/>
        <v>3.6363636363636362E-2</v>
      </c>
      <c r="O155" s="136">
        <f>IF(ISNUMBER(M155), $B172 * N155, "")</f>
        <v>5454.545454545454</v>
      </c>
      <c r="Q155" s="275"/>
      <c r="R155" s="275"/>
      <c r="S155" s="275"/>
    </row>
    <row r="156" spans="1:19" ht="17.25" thickBot="1">
      <c r="A156" s="126" t="s">
        <v>246</v>
      </c>
      <c r="B156" s="127">
        <v>322</v>
      </c>
      <c r="C156" s="74">
        <v>-6.1728395E-3</v>
      </c>
      <c r="D156" s="127">
        <v>374</v>
      </c>
      <c r="E156" s="74">
        <f t="shared" si="92"/>
        <v>0.16149068322981366</v>
      </c>
      <c r="F156" s="203">
        <f>IF(ISNUMBER(D156), $B172 * E156, "")</f>
        <v>24223.602484472049</v>
      </c>
      <c r="G156" s="44">
        <v>351</v>
      </c>
      <c r="H156" s="74">
        <f t="shared" si="93"/>
        <v>9.0062111801242239E-2</v>
      </c>
      <c r="I156" s="204">
        <f>IF(ISNUMBER(G156), $B172 * H156, "")</f>
        <v>13509.316770186337</v>
      </c>
      <c r="J156" s="127">
        <v>351</v>
      </c>
      <c r="K156" s="74">
        <f t="shared" si="94"/>
        <v>9.0062111801242239E-2</v>
      </c>
      <c r="L156" s="203">
        <f>IF(ISNUMBER(J156), $B172 * K156, "")</f>
        <v>13509.316770186337</v>
      </c>
      <c r="M156" s="44">
        <v>346</v>
      </c>
      <c r="N156" s="74">
        <f t="shared" si="95"/>
        <v>7.4534161490683232E-2</v>
      </c>
      <c r="O156" s="203">
        <f>IF(ISNUMBER(M156), $B172 * N156, "")</f>
        <v>11180.124223602485</v>
      </c>
      <c r="Q156" s="275"/>
      <c r="R156" s="275"/>
      <c r="S156" s="275"/>
    </row>
    <row r="157" spans="1:19" ht="17.25" thickBot="1">
      <c r="A157" s="124" t="s">
        <v>200</v>
      </c>
      <c r="B157" s="128">
        <v>305</v>
      </c>
      <c r="C157" s="76">
        <v>-6.5146580000000004E-3</v>
      </c>
      <c r="D157" s="128">
        <v>316</v>
      </c>
      <c r="E157" s="76">
        <f>IF(ISNUMBER(D157), (D157 - $B157) / $B157, "")</f>
        <v>3.6065573770491806E-2</v>
      </c>
      <c r="F157" s="205">
        <f>IF(ISNUMBER(D157), $B172 * E157, "")</f>
        <v>5409.8360655737706</v>
      </c>
      <c r="G157" s="45">
        <v>303</v>
      </c>
      <c r="H157" s="76">
        <f>IF(ISNUMBER(G157), (G157 - $B157) / $B157, "")</f>
        <v>-6.5573770491803279E-3</v>
      </c>
      <c r="I157" s="206">
        <f>IF(ISNUMBER(G157), $B172 * H157, "")</f>
        <v>-983.60655737704917</v>
      </c>
      <c r="J157" s="128">
        <v>306</v>
      </c>
      <c r="K157" s="76">
        <f>IF(ISNUMBER(J157), (J157 - $B157) / $B157, "")</f>
        <v>3.2786885245901639E-3</v>
      </c>
      <c r="L157" s="205">
        <f>IF(ISNUMBER(J157), $B172 * K157, "")</f>
        <v>491.80327868852459</v>
      </c>
      <c r="M157" s="45">
        <v>305</v>
      </c>
      <c r="N157" s="76">
        <f>IF(ISNUMBER(M157), (M157 - $B157) / $B157, "")</f>
        <v>0</v>
      </c>
      <c r="O157" s="205">
        <f>IF(ISNUMBER(M157), $B172 * N157, "")</f>
        <v>0</v>
      </c>
      <c r="Q157" s="275"/>
      <c r="R157" s="275"/>
      <c r="S157" s="275"/>
    </row>
    <row r="158" spans="1:19" ht="17.25" thickBot="1">
      <c r="A158" s="124" t="s">
        <v>282</v>
      </c>
      <c r="B158" s="125">
        <v>149</v>
      </c>
      <c r="C158" s="73">
        <v>-6.6666666999999997E-3</v>
      </c>
      <c r="D158" s="125">
        <v>154</v>
      </c>
      <c r="E158" s="73">
        <f t="shared" ref="E158:E161" si="96">IF(ISNUMBER(D158), (D158 - $B158) / $B158, "")</f>
        <v>3.3557046979865772E-2</v>
      </c>
      <c r="F158" s="136">
        <f>IF(ISNUMBER(D158), $B172 * E158, "")</f>
        <v>5033.5570469798658</v>
      </c>
      <c r="G158" s="39">
        <v>153</v>
      </c>
      <c r="H158" s="73">
        <f t="shared" ref="H158:H161" si="97">IF(ISNUMBER(G158), (G158 - $B158) / $B158, "")</f>
        <v>2.6845637583892617E-2</v>
      </c>
      <c r="I158" s="202">
        <f>IF(ISNUMBER(G158), $B172 * H158, "")</f>
        <v>4026.8456375838923</v>
      </c>
      <c r="J158" s="125">
        <v>153</v>
      </c>
      <c r="K158" s="73">
        <f t="shared" ref="K158:K161" si="98">IF(ISNUMBER(J158), (J158 - $B158) / $B158, "")</f>
        <v>2.6845637583892617E-2</v>
      </c>
      <c r="L158" s="136">
        <f>IF(ISNUMBER(J158), $B172 * K158, "")</f>
        <v>4026.8456375838923</v>
      </c>
      <c r="M158" s="39">
        <v>151</v>
      </c>
      <c r="N158" s="73">
        <f t="shared" ref="N158:N161" si="99">IF(ISNUMBER(M158), (M158 - $B158) / $B158, "")</f>
        <v>1.3422818791946308E-2</v>
      </c>
      <c r="O158" s="136">
        <f>IF(ISNUMBER(M158), $B172 * N158, "")</f>
        <v>2013.4228187919462</v>
      </c>
      <c r="Q158" s="275"/>
      <c r="R158" s="275"/>
      <c r="S158" s="275"/>
    </row>
    <row r="159" spans="1:19" ht="17.25" thickBot="1">
      <c r="A159" s="124" t="s">
        <v>230</v>
      </c>
      <c r="B159" s="125">
        <v>146</v>
      </c>
      <c r="C159" s="73">
        <v>-6.8027210999999999E-3</v>
      </c>
      <c r="D159" s="125">
        <v>159</v>
      </c>
      <c r="E159" s="73">
        <f t="shared" si="96"/>
        <v>8.9041095890410954E-2</v>
      </c>
      <c r="F159" s="136">
        <f>IF(ISNUMBER(D159), $B172 * E159, "")</f>
        <v>13356.164383561643</v>
      </c>
      <c r="G159" s="39">
        <v>154</v>
      </c>
      <c r="H159" s="73">
        <f t="shared" si="97"/>
        <v>5.4794520547945202E-2</v>
      </c>
      <c r="I159" s="202">
        <f>IF(ISNUMBER(G159), $B172 * H159, "")</f>
        <v>8219.17808219178</v>
      </c>
      <c r="J159" s="125">
        <v>155</v>
      </c>
      <c r="K159" s="73">
        <f t="shared" si="98"/>
        <v>6.1643835616438353E-2</v>
      </c>
      <c r="L159" s="136">
        <f>IF(ISNUMBER(J159), $B172 * K159, "")</f>
        <v>9246.5753424657523</v>
      </c>
      <c r="M159" s="39">
        <v>155</v>
      </c>
      <c r="N159" s="73">
        <f t="shared" si="99"/>
        <v>6.1643835616438353E-2</v>
      </c>
      <c r="O159" s="136">
        <f>IF(ISNUMBER(M159), $B172 * N159, "")</f>
        <v>9246.5753424657523</v>
      </c>
      <c r="Q159" s="275"/>
      <c r="R159" s="275"/>
      <c r="S159" s="275"/>
    </row>
    <row r="160" spans="1:19" ht="17.25" thickBot="1">
      <c r="A160" s="124" t="s">
        <v>51</v>
      </c>
      <c r="B160" s="125">
        <v>818</v>
      </c>
      <c r="C160" s="73">
        <v>-7.2815533999999998E-3</v>
      </c>
      <c r="D160" s="125">
        <v>846</v>
      </c>
      <c r="E160" s="73">
        <f t="shared" si="96"/>
        <v>3.4229828850855744E-2</v>
      </c>
      <c r="F160" s="136">
        <f>IF(ISNUMBER(D160), $B172 * E160, "")</f>
        <v>5134.4743276283616</v>
      </c>
      <c r="G160" s="39">
        <v>827</v>
      </c>
      <c r="H160" s="73">
        <f t="shared" si="97"/>
        <v>1.1002444987775062E-2</v>
      </c>
      <c r="I160" s="202">
        <f>IF(ISNUMBER(G160), $B172 * H160, "")</f>
        <v>1650.3667481662592</v>
      </c>
      <c r="J160" s="125">
        <v>841</v>
      </c>
      <c r="K160" s="73">
        <f t="shared" si="98"/>
        <v>2.8117359413202935E-2</v>
      </c>
      <c r="L160" s="136">
        <f>IF(ISNUMBER(J160), $B172 * K160, "")</f>
        <v>4217.60391198044</v>
      </c>
      <c r="M160" s="39">
        <v>888</v>
      </c>
      <c r="N160" s="73">
        <f t="shared" si="99"/>
        <v>8.557457212713937E-2</v>
      </c>
      <c r="O160" s="136">
        <f>IF(ISNUMBER(M160), $B172 * N160, "")</f>
        <v>12836.185819070906</v>
      </c>
      <c r="Q160" s="33"/>
      <c r="R160" s="33"/>
    </row>
    <row r="161" spans="1:19" ht="17.25" thickBot="1">
      <c r="A161" s="129" t="s">
        <v>270</v>
      </c>
      <c r="B161" s="130">
        <v>509</v>
      </c>
      <c r="C161" s="75">
        <v>-7.7972709999999997E-3</v>
      </c>
      <c r="D161" s="130">
        <v>510</v>
      </c>
      <c r="E161" s="75">
        <f t="shared" si="96"/>
        <v>1.9646365422396855E-3</v>
      </c>
      <c r="F161" s="137">
        <f>IF(ISNUMBER(D161), $B172 * E161, "")</f>
        <v>294.69548133595282</v>
      </c>
      <c r="G161" s="37">
        <v>496</v>
      </c>
      <c r="H161" s="75">
        <f t="shared" si="97"/>
        <v>-2.5540275049115914E-2</v>
      </c>
      <c r="I161" s="207">
        <f>IF(ISNUMBER(G161), $B172 * H161, "")</f>
        <v>-3831.0412573673871</v>
      </c>
      <c r="J161" s="130">
        <v>499</v>
      </c>
      <c r="K161" s="75">
        <f t="shared" si="98"/>
        <v>-1.9646365422396856E-2</v>
      </c>
      <c r="L161" s="137">
        <f>IF(ISNUMBER(J161), $B172 * K161, "")</f>
        <v>-2946.9548133595285</v>
      </c>
      <c r="M161" s="37">
        <v>500</v>
      </c>
      <c r="N161" s="75">
        <f t="shared" si="99"/>
        <v>-1.768172888015717E-2</v>
      </c>
      <c r="O161" s="137">
        <f>IF(ISNUMBER(M161), $B172 * N161, "")</f>
        <v>-2652.2593320235756</v>
      </c>
      <c r="Q161" s="284"/>
      <c r="R161" s="285"/>
      <c r="S161" s="286"/>
    </row>
    <row r="162" spans="1:19">
      <c r="A162" s="122" t="s">
        <v>122</v>
      </c>
      <c r="B162" s="123">
        <v>104</v>
      </c>
      <c r="C162" s="72">
        <v>-9.5238094999999991E-3</v>
      </c>
      <c r="D162" s="123">
        <v>103</v>
      </c>
      <c r="E162" s="72">
        <f>IF(ISNUMBER(D162), (D162 - $B162) / $B162, "")</f>
        <v>-9.6153846153846159E-3</v>
      </c>
      <c r="F162" s="140">
        <f>IF(ISNUMBER(D162), $B172 * E162, "")</f>
        <v>-1442.3076923076924</v>
      </c>
      <c r="G162" s="38">
        <v>100</v>
      </c>
      <c r="H162" s="72">
        <f>IF(ISNUMBER(G162), (G162 - $B162) / $B162, "")</f>
        <v>-3.8461538461538464E-2</v>
      </c>
      <c r="I162" s="201">
        <f>IF(ISNUMBER(G162), $B172 * H162, "")</f>
        <v>-5769.2307692307695</v>
      </c>
      <c r="J162" s="123">
        <v>102</v>
      </c>
      <c r="K162" s="72">
        <f>IF(ISNUMBER(J162), (J162 - $B162) / $B162, "")</f>
        <v>-1.9230769230769232E-2</v>
      </c>
      <c r="L162" s="140">
        <f>IF(ISNUMBER(J162), $B172 * K162, "")</f>
        <v>-2884.6153846153848</v>
      </c>
      <c r="M162" s="38">
        <v>102</v>
      </c>
      <c r="N162" s="72">
        <f>IF(ISNUMBER(M162), (M162 - $B162) / $B162, "")</f>
        <v>-1.9230769230769232E-2</v>
      </c>
      <c r="O162" s="140">
        <f>IF(ISNUMBER(M162), $B172 * N162, "")</f>
        <v>-2884.6153846153848</v>
      </c>
      <c r="Q162" s="287"/>
      <c r="R162" s="288"/>
      <c r="S162" s="289"/>
    </row>
    <row r="163" spans="1:19" ht="17.25" thickBot="1">
      <c r="A163" s="124" t="s">
        <v>120</v>
      </c>
      <c r="B163" s="125">
        <v>204</v>
      </c>
      <c r="C163" s="73">
        <v>-9.7087379000000001E-3</v>
      </c>
      <c r="D163" s="125">
        <v>202</v>
      </c>
      <c r="E163" s="73">
        <f t="shared" ref="E163:E166" si="100">IF(ISNUMBER(D163), (D163 - $B163) / $B163, "")</f>
        <v>-9.8039215686274508E-3</v>
      </c>
      <c r="F163" s="136">
        <f>IF(ISNUMBER(D163), $B172 * E163, "")</f>
        <v>-1470.5882352941176</v>
      </c>
      <c r="G163" s="39">
        <v>196</v>
      </c>
      <c r="H163" s="73">
        <f t="shared" ref="H163:H166" si="101">IF(ISNUMBER(G163), (G163 - $B163) / $B163, "")</f>
        <v>-3.9215686274509803E-2</v>
      </c>
      <c r="I163" s="202">
        <f>IF(ISNUMBER(G163), $B172 * H163, "")</f>
        <v>-5882.3529411764703</v>
      </c>
      <c r="J163" s="125">
        <v>198</v>
      </c>
      <c r="K163" s="73">
        <f t="shared" ref="K163:K166" si="102">IF(ISNUMBER(J163), (J163 - $B163) / $B163, "")</f>
        <v>-2.9411764705882353E-2</v>
      </c>
      <c r="L163" s="136">
        <f>IF(ISNUMBER(J163), $B172 * K163, "")</f>
        <v>-4411.7647058823532</v>
      </c>
      <c r="M163" s="39">
        <v>199</v>
      </c>
      <c r="N163" s="73">
        <f t="shared" ref="N163:N166" si="103">IF(ISNUMBER(M163), (M163 - $B163) / $B163, "")</f>
        <v>-2.4509803921568627E-2</v>
      </c>
      <c r="O163" s="136">
        <f>IF(ISNUMBER(M163), $B172 * N163, "")</f>
        <v>-3676.4705882352941</v>
      </c>
      <c r="Q163" s="290"/>
      <c r="R163" s="291"/>
      <c r="S163" s="292"/>
    </row>
    <row r="164" spans="1:19" ht="17.25" thickBot="1">
      <c r="A164" s="124" t="s">
        <v>112</v>
      </c>
      <c r="B164" s="125">
        <v>230</v>
      </c>
      <c r="C164" s="73">
        <v>-1.28755365E-2</v>
      </c>
      <c r="D164" s="125">
        <v>232</v>
      </c>
      <c r="E164" s="73">
        <f t="shared" si="100"/>
        <v>8.6956521739130436E-3</v>
      </c>
      <c r="F164" s="136">
        <f>IF(ISNUMBER(D164), $B172 * E164, "")</f>
        <v>1304.3478260869565</v>
      </c>
      <c r="G164" s="39">
        <v>222</v>
      </c>
      <c r="H164" s="73">
        <f t="shared" si="101"/>
        <v>-3.4782608695652174E-2</v>
      </c>
      <c r="I164" s="202">
        <f>IF(ISNUMBER(G164), $B172 * H164, "")</f>
        <v>-5217.391304347826</v>
      </c>
      <c r="J164" s="125">
        <v>225</v>
      </c>
      <c r="K164" s="73">
        <f t="shared" si="102"/>
        <v>-2.1739130434782608E-2</v>
      </c>
      <c r="L164" s="136">
        <f>IF(ISNUMBER(J164), $B172 * K164, "")</f>
        <v>-3260.869565217391</v>
      </c>
      <c r="M164" s="39">
        <v>226</v>
      </c>
      <c r="N164" s="73">
        <f t="shared" si="103"/>
        <v>-1.7391304347826087E-2</v>
      </c>
      <c r="O164" s="136">
        <f>IF(ISNUMBER(M164), $B172 * N164, "")</f>
        <v>-2608.695652173913</v>
      </c>
      <c r="Q164" s="275"/>
      <c r="R164" s="275"/>
      <c r="S164" s="275"/>
    </row>
    <row r="165" spans="1:19" ht="17.25" thickBot="1">
      <c r="A165" s="124" t="s">
        <v>258</v>
      </c>
      <c r="B165" s="125">
        <v>600</v>
      </c>
      <c r="C165" s="73">
        <v>-1.3157894700000001E-2</v>
      </c>
      <c r="D165" s="125">
        <v>599</v>
      </c>
      <c r="E165" s="73">
        <f t="shared" si="100"/>
        <v>-1.6666666666666668E-3</v>
      </c>
      <c r="F165" s="136">
        <f>IF(ISNUMBER(D165), $B172 * E165, "")</f>
        <v>-250.00000000000003</v>
      </c>
      <c r="G165" s="39">
        <v>583</v>
      </c>
      <c r="H165" s="73">
        <f t="shared" si="101"/>
        <v>-2.8333333333333332E-2</v>
      </c>
      <c r="I165" s="202">
        <f>IF(ISNUMBER(G165), $B172 * H165, "")</f>
        <v>-4250</v>
      </c>
      <c r="J165" s="125">
        <v>591</v>
      </c>
      <c r="K165" s="73">
        <f t="shared" si="102"/>
        <v>-1.4999999999999999E-2</v>
      </c>
      <c r="L165" s="136">
        <f>IF(ISNUMBER(J165), $B172 * K165, "")</f>
        <v>-2250</v>
      </c>
      <c r="M165" s="39">
        <v>592</v>
      </c>
      <c r="N165" s="73">
        <f t="shared" si="103"/>
        <v>-1.3333333333333334E-2</v>
      </c>
      <c r="O165" s="136">
        <f>IF(ISNUMBER(M165), $B172 * N165, "")</f>
        <v>-2000.0000000000002</v>
      </c>
      <c r="Q165" s="270"/>
      <c r="R165" s="270"/>
      <c r="S165" s="270"/>
    </row>
    <row r="166" spans="1:19" ht="17.25" thickBot="1">
      <c r="A166" s="126" t="s">
        <v>142</v>
      </c>
      <c r="B166" s="127">
        <v>415</v>
      </c>
      <c r="C166" s="74">
        <v>-1.6587677700000001E-2</v>
      </c>
      <c r="D166" s="127">
        <v>407</v>
      </c>
      <c r="E166" s="74">
        <f t="shared" si="100"/>
        <v>-1.9277108433734941E-2</v>
      </c>
      <c r="F166" s="203">
        <f>IF(ISNUMBER(D166), $B172 * E166, "")</f>
        <v>-2891.5662650602412</v>
      </c>
      <c r="G166" s="44">
        <v>399</v>
      </c>
      <c r="H166" s="74">
        <f t="shared" si="101"/>
        <v>-3.8554216867469883E-2</v>
      </c>
      <c r="I166" s="204">
        <f>IF(ISNUMBER(G166), $B172 * H166, "")</f>
        <v>-5783.1325301204824</v>
      </c>
      <c r="J166" s="127">
        <v>402</v>
      </c>
      <c r="K166" s="74">
        <f t="shared" si="102"/>
        <v>-3.1325301204819279E-2</v>
      </c>
      <c r="L166" s="203">
        <f>IF(ISNUMBER(J166), $B172 * K166, "")</f>
        <v>-4698.7951807228919</v>
      </c>
      <c r="M166" s="44">
        <v>405</v>
      </c>
      <c r="N166" s="74">
        <f t="shared" si="103"/>
        <v>-2.4096385542168676E-2</v>
      </c>
      <c r="O166" s="203">
        <f>IF(ISNUMBER(M166), $B172 * N166, "")</f>
        <v>-3614.4578313253014</v>
      </c>
      <c r="Q166" s="270"/>
      <c r="R166" s="270"/>
      <c r="S166" s="270"/>
    </row>
    <row r="167" spans="1:19" ht="17.25" thickBot="1">
      <c r="A167" s="124" t="s">
        <v>202</v>
      </c>
      <c r="B167" s="128">
        <v>166</v>
      </c>
      <c r="C167" s="76">
        <v>-2.35294118E-2</v>
      </c>
      <c r="D167" s="128">
        <v>164</v>
      </c>
      <c r="E167" s="76">
        <f>IF(ISNUMBER(D167), (D167 - $B167) / $B167, "")</f>
        <v>-1.2048192771084338E-2</v>
      </c>
      <c r="F167" s="205">
        <f>IF(ISNUMBER(D167), $B172 * E167, "")</f>
        <v>-1807.2289156626507</v>
      </c>
      <c r="G167" s="45">
        <v>161</v>
      </c>
      <c r="H167" s="76">
        <f>IF(ISNUMBER(G167), (G167 - $B167) / $B167, "")</f>
        <v>-3.0120481927710843E-2</v>
      </c>
      <c r="I167" s="206">
        <f>IF(ISNUMBER(G167), $B172 * H167, "")</f>
        <v>-4518.0722891566265</v>
      </c>
      <c r="J167" s="128">
        <v>162</v>
      </c>
      <c r="K167" s="76">
        <f>IF(ISNUMBER(J167), (J167 - $B167) / $B167, "")</f>
        <v>-2.4096385542168676E-2</v>
      </c>
      <c r="L167" s="205">
        <f>IF(ISNUMBER(J167), $B172 * K167, "")</f>
        <v>-3614.4578313253014</v>
      </c>
      <c r="M167" s="45">
        <v>163</v>
      </c>
      <c r="N167" s="76">
        <f>IF(ISNUMBER(M167), (M167 - $B167) / $B167, "")</f>
        <v>-1.8072289156626505E-2</v>
      </c>
      <c r="O167" s="205">
        <f>IF(ISNUMBER(M167), $B172 * N167, "")</f>
        <v>-2710.8433734939758</v>
      </c>
      <c r="Q167" s="275"/>
      <c r="R167" s="275"/>
      <c r="S167" s="275"/>
    </row>
    <row r="168" spans="1:19" ht="17.25" thickBot="1">
      <c r="A168" s="124" t="s">
        <v>252</v>
      </c>
      <c r="B168" s="125">
        <v>446</v>
      </c>
      <c r="C168" s="73">
        <v>-2.6200873400000001E-2</v>
      </c>
      <c r="D168" s="125">
        <v>449</v>
      </c>
      <c r="E168" s="73">
        <f t="shared" ref="E168:E171" si="104">IF(ISNUMBER(D168), (D168 - $B168) / $B168, "")</f>
        <v>6.7264573991031393E-3</v>
      </c>
      <c r="F168" s="136">
        <f>IF(ISNUMBER(D168), $B172 * E168, "")</f>
        <v>1008.9686098654709</v>
      </c>
      <c r="G168" s="39">
        <v>432</v>
      </c>
      <c r="H168" s="73">
        <f t="shared" ref="H168:H171" si="105">IF(ISNUMBER(G168), (G168 - $B168) / $B168, "")</f>
        <v>-3.1390134529147982E-2</v>
      </c>
      <c r="I168" s="202">
        <f>IF(ISNUMBER(G168), $B172 * H168, "")</f>
        <v>-4708.5201793721972</v>
      </c>
      <c r="J168" s="125">
        <v>437</v>
      </c>
      <c r="K168" s="73">
        <f t="shared" ref="K168:K171" si="106">IF(ISNUMBER(J168), (J168 - $B168) / $B168, "")</f>
        <v>-2.0179372197309416E-2</v>
      </c>
      <c r="L168" s="136">
        <f>IF(ISNUMBER(J168), $B172 * K168, "")</f>
        <v>-3026.9058295964123</v>
      </c>
      <c r="M168" s="39">
        <v>438</v>
      </c>
      <c r="N168" s="73">
        <f t="shared" ref="N168:N171" si="107">IF(ISNUMBER(M168), (M168 - $B168) / $B168, "")</f>
        <v>-1.7937219730941704E-2</v>
      </c>
      <c r="O168" s="136">
        <f>IF(ISNUMBER(M168), $B172 * N168, "")</f>
        <v>-2690.5829596412555</v>
      </c>
      <c r="Q168" s="275"/>
      <c r="R168" s="275"/>
      <c r="S168" s="275"/>
    </row>
    <row r="169" spans="1:19" ht="17.25" thickBot="1">
      <c r="A169" s="124" t="s">
        <v>54</v>
      </c>
      <c r="B169" s="125">
        <v>402</v>
      </c>
      <c r="C169" s="73">
        <v>-4.2857142899999999E-2</v>
      </c>
      <c r="D169" s="125">
        <v>394</v>
      </c>
      <c r="E169" s="73">
        <f t="shared" si="104"/>
        <v>-1.9900497512437811E-2</v>
      </c>
      <c r="F169" s="136">
        <f>IF(ISNUMBER(D169), $B172 * E169, "")</f>
        <v>-2985.0746268656717</v>
      </c>
      <c r="G169" s="39">
        <v>380</v>
      </c>
      <c r="H169" s="73">
        <f t="shared" si="105"/>
        <v>-5.4726368159203981E-2</v>
      </c>
      <c r="I169" s="202">
        <f>IF(ISNUMBER(G169), $B172 * H169, "")</f>
        <v>-8208.9552238805973</v>
      </c>
      <c r="J169" s="125">
        <v>384</v>
      </c>
      <c r="K169" s="73">
        <f t="shared" si="106"/>
        <v>-4.4776119402985072E-2</v>
      </c>
      <c r="L169" s="136">
        <f>IF(ISNUMBER(J169), $B172 * K169, "")</f>
        <v>-6716.4179104477607</v>
      </c>
      <c r="M169" s="39">
        <v>389</v>
      </c>
      <c r="N169" s="73">
        <f t="shared" si="107"/>
        <v>-3.2338308457711441E-2</v>
      </c>
      <c r="O169" s="136">
        <f>IF(ISNUMBER(M169), $B172 * N169, "")</f>
        <v>-4850.746268656716</v>
      </c>
      <c r="Q169" s="275"/>
      <c r="R169" s="275"/>
      <c r="S169" s="275"/>
    </row>
    <row r="170" spans="1:19">
      <c r="A170" s="124" t="s">
        <v>208</v>
      </c>
      <c r="B170" s="125">
        <v>450</v>
      </c>
      <c r="C170" s="73">
        <v>-5.6603773599999997E-2</v>
      </c>
      <c r="D170" s="125">
        <v>449</v>
      </c>
      <c r="E170" s="73">
        <f t="shared" si="104"/>
        <v>-2.2222222222222222E-3</v>
      </c>
      <c r="F170" s="136">
        <f>IF(ISNUMBER(D170), $B172 * E170, "")</f>
        <v>-333.33333333333331</v>
      </c>
      <c r="G170" s="39">
        <v>431</v>
      </c>
      <c r="H170" s="73">
        <f t="shared" si="105"/>
        <v>-4.2222222222222223E-2</v>
      </c>
      <c r="I170" s="202">
        <f>IF(ISNUMBER(G170), $B172 * H170, "")</f>
        <v>-6333.3333333333339</v>
      </c>
      <c r="J170" s="125">
        <v>437</v>
      </c>
      <c r="K170" s="73">
        <f t="shared" si="106"/>
        <v>-2.8888888888888888E-2</v>
      </c>
      <c r="L170" s="136">
        <f>IF(ISNUMBER(J170), $B172 * K170, "")</f>
        <v>-4333.333333333333</v>
      </c>
      <c r="M170" s="39">
        <v>436</v>
      </c>
      <c r="N170" s="73">
        <f t="shared" si="107"/>
        <v>-3.111111111111111E-2</v>
      </c>
      <c r="O170" s="136">
        <f>IF(ISNUMBER(M170), $B172 * N170, "")</f>
        <v>-4666.666666666667</v>
      </c>
      <c r="Q170" s="297"/>
      <c r="R170" s="298"/>
      <c r="S170" s="299"/>
    </row>
    <row r="171" spans="1:19" ht="17.25" thickBot="1">
      <c r="A171" s="129" t="s">
        <v>182</v>
      </c>
      <c r="B171" s="130">
        <v>523</v>
      </c>
      <c r="C171" s="75">
        <v>-7.4336283200000006E-2</v>
      </c>
      <c r="D171" s="130">
        <v>520</v>
      </c>
      <c r="E171" s="75">
        <f t="shared" si="104"/>
        <v>-5.7361376673040155E-3</v>
      </c>
      <c r="F171" s="137">
        <f>IF(ISNUMBER(D171), $B172 * E171, "")</f>
        <v>-860.42065009560235</v>
      </c>
      <c r="G171" s="37">
        <v>501</v>
      </c>
      <c r="H171" s="75">
        <f t="shared" si="105"/>
        <v>-4.2065009560229447E-2</v>
      </c>
      <c r="I171" s="207">
        <f>IF(ISNUMBER(G171), $B172 * H171, "")</f>
        <v>-6309.7514340344169</v>
      </c>
      <c r="J171" s="130">
        <v>503</v>
      </c>
      <c r="K171" s="75">
        <f t="shared" si="106"/>
        <v>-3.8240917782026769E-2</v>
      </c>
      <c r="L171" s="137">
        <f>IF(ISNUMBER(J171), $B172 * K171, "")</f>
        <v>-5736.1376673040149</v>
      </c>
      <c r="M171" s="37">
        <v>507</v>
      </c>
      <c r="N171" s="75">
        <f t="shared" si="107"/>
        <v>-3.0592734225621414E-2</v>
      </c>
      <c r="O171" s="137">
        <f>IF(ISNUMBER(M171), $B172 * N171, "")</f>
        <v>-4588.910133843212</v>
      </c>
      <c r="Q171" s="300"/>
      <c r="R171" s="301"/>
      <c r="S171" s="302"/>
    </row>
    <row r="172" spans="1:19" ht="17.25" thickBot="1">
      <c r="A172" s="131" t="s">
        <v>301</v>
      </c>
      <c r="B172" s="308">
        <f>$B$37</f>
        <v>150000</v>
      </c>
      <c r="C172" s="309"/>
      <c r="D172" s="131" t="s">
        <v>302</v>
      </c>
      <c r="E172" s="236">
        <f>IF(COUNT(E152:E171), SUM(E152:E171) / COUNT(E152:E171), 0)</f>
        <v>2.0962434460645669E-2</v>
      </c>
      <c r="F172" s="208">
        <f>SUM(F152:F171)</f>
        <v>62887.303381936996</v>
      </c>
      <c r="G172" s="131" t="s">
        <v>302</v>
      </c>
      <c r="H172" s="236">
        <f>IF(COUNT(H152:H171), SUM(H152:H171) / COUNT(H152:H171), 0)</f>
        <v>-1.2683060606698663E-2</v>
      </c>
      <c r="I172" s="208">
        <f>SUM(I152:I171)</f>
        <v>-38049.181820095997</v>
      </c>
      <c r="J172" s="131" t="s">
        <v>302</v>
      </c>
      <c r="K172" s="236">
        <f>IF(COUNT(K152:K171), SUM(K152:K171) / COUNT(K152:K171), 0)</f>
        <v>-3.1779859635979331E-3</v>
      </c>
      <c r="L172" s="208">
        <f>SUM(L152:L171)</f>
        <v>-9533.9578907937976</v>
      </c>
      <c r="M172" s="131" t="s">
        <v>302</v>
      </c>
      <c r="N172" s="236">
        <f>IF(COUNT(N152:N171), SUM(N152:N171) / COUNT(N152:N171), 0)</f>
        <v>-9.9517364627774553E-4</v>
      </c>
      <c r="O172" s="208">
        <f>SUM(O152:O171)</f>
        <v>-2985.5209388332323</v>
      </c>
      <c r="Q172" s="303"/>
      <c r="R172" s="304"/>
      <c r="S172" s="305"/>
    </row>
    <row r="174" spans="1:19" ht="17.25" thickBot="1"/>
    <row r="175" spans="1:19" ht="17.25" thickBot="1">
      <c r="A175" s="249" t="s">
        <v>285</v>
      </c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50"/>
      <c r="M175" s="250"/>
      <c r="N175" s="250"/>
      <c r="O175" s="251"/>
      <c r="Q175" s="270"/>
      <c r="R175" s="270"/>
      <c r="S175" s="270"/>
    </row>
    <row r="176" spans="1:19" ht="17.25" thickBot="1">
      <c r="A176" s="233" t="s">
        <v>298</v>
      </c>
      <c r="B176" s="249" t="s">
        <v>49</v>
      </c>
      <c r="C176" s="251"/>
      <c r="D176" s="249" t="s">
        <v>58</v>
      </c>
      <c r="E176" s="250"/>
      <c r="F176" s="251"/>
      <c r="G176" s="276">
        <f>_xlfn.IFNA(VLOOKUP(B176, 현재가테이블!$B$2:$D$200, 2, FALSE), "-")</f>
        <v>60874000</v>
      </c>
      <c r="H176" s="277"/>
      <c r="I176" s="278"/>
      <c r="J176" s="249" t="s">
        <v>59</v>
      </c>
      <c r="K176" s="250"/>
      <c r="L176" s="251"/>
      <c r="M176" s="279">
        <f>_xlfn.IFNA(VLOOKUP(B176, 현재가테이블!$B$2:$D$200, 3, FALSE), "-")</f>
        <v>-1.4936000099999999E-2</v>
      </c>
      <c r="N176" s="280"/>
      <c r="O176" s="281"/>
      <c r="Q176" s="270"/>
      <c r="R176" s="270"/>
      <c r="S176" s="270"/>
    </row>
    <row r="177" spans="1:19" ht="17.25" thickBot="1">
      <c r="A177" s="310" t="s">
        <v>55</v>
      </c>
      <c r="B177" s="312" t="str">
        <f>TEXT($G$1, "[$-ko-KR]yyyy-mm-dd(ddd) ") &amp; "오전 00:00"</f>
        <v>2021-05-15(토) 오전 00:00</v>
      </c>
      <c r="C177" s="313"/>
      <c r="D177" s="249" t="str">
        <f>TEXT($G$1, "[$-ko-KR]yyyy-mm-dd(ddd) ") &amp; "오후 14:00"</f>
        <v>2021-05-15(토) 오후 14:00</v>
      </c>
      <c r="E177" s="250"/>
      <c r="F177" s="251"/>
      <c r="G177" s="249" t="str">
        <f>TEXT($G$1, "[$-ko-KR]yyyy-mm-dd(ddd) ") &amp; "오후 19:00"</f>
        <v>2021-05-15(토) 오후 19:00</v>
      </c>
      <c r="H177" s="250"/>
      <c r="I177" s="251"/>
      <c r="J177" s="249" t="str">
        <f>TEXT($G$1, "[$-ko-KR]yyyy-mm-dd(ddd) ") &amp; "오후 21:00"</f>
        <v>2021-05-15(토) 오후 21:00</v>
      </c>
      <c r="K177" s="250"/>
      <c r="L177" s="251"/>
      <c r="M177" s="249" t="str">
        <f>TEXT($G$1+1, "[$-ko-KR]yyyy-mm-dd(ddd) ") &amp; "오전 00:00"</f>
        <v>2021-05-16(일) 오전 00:00</v>
      </c>
      <c r="N177" s="250"/>
      <c r="O177" s="251"/>
      <c r="Q177" s="270"/>
      <c r="R177" s="270"/>
      <c r="S177" s="270"/>
    </row>
    <row r="178" spans="1:19" ht="17.25" thickBot="1">
      <c r="A178" s="311"/>
      <c r="B178" s="120" t="s">
        <v>58</v>
      </c>
      <c r="C178" s="121" t="s">
        <v>59</v>
      </c>
      <c r="D178" s="120" t="s">
        <v>58</v>
      </c>
      <c r="E178" s="121" t="s">
        <v>299</v>
      </c>
      <c r="F178" s="240" t="s">
        <v>300</v>
      </c>
      <c r="G178" s="233" t="s">
        <v>58</v>
      </c>
      <c r="H178" s="234" t="s">
        <v>299</v>
      </c>
      <c r="I178" s="235" t="s">
        <v>300</v>
      </c>
      <c r="J178" s="121" t="s">
        <v>58</v>
      </c>
      <c r="K178" s="121" t="s">
        <v>299</v>
      </c>
      <c r="L178" s="238" t="s">
        <v>300</v>
      </c>
      <c r="M178" s="120" t="s">
        <v>58</v>
      </c>
      <c r="N178" s="121" t="s">
        <v>299</v>
      </c>
      <c r="O178" s="239" t="s">
        <v>300</v>
      </c>
      <c r="Q178" s="275"/>
      <c r="R178" s="275"/>
      <c r="S178" s="275"/>
    </row>
    <row r="179" spans="1:19" ht="17.25" thickBot="1">
      <c r="A179" s="122" t="s">
        <v>272</v>
      </c>
      <c r="B179" s="123">
        <v>2185</v>
      </c>
      <c r="C179" s="72">
        <v>-1.5765765800000001E-2</v>
      </c>
      <c r="D179" s="123">
        <v>2190</v>
      </c>
      <c r="E179" s="72">
        <f>IF(ISNUMBER(D179), (D179 - $B179) / $B179, "")</f>
        <v>2.2883295194508009E-3</v>
      </c>
      <c r="F179" s="140">
        <f>IF(ISNUMBER(D179), $B199 * E179, "")</f>
        <v>343.24942791762015</v>
      </c>
      <c r="G179" s="38">
        <v>2120</v>
      </c>
      <c r="H179" s="72">
        <f>IF(ISNUMBER(G179), (G179 - $B179) / $B179, "")</f>
        <v>-2.9748283752860413E-2</v>
      </c>
      <c r="I179" s="201">
        <f>IF(ISNUMBER(G179), $B199 * H179, "")</f>
        <v>-4462.2425629290619</v>
      </c>
      <c r="J179" s="123">
        <v>2125</v>
      </c>
      <c r="K179" s="72">
        <f>IF(ISNUMBER(J179), (J179 - $B179) / $B179, "")</f>
        <v>-2.7459954233409609E-2</v>
      </c>
      <c r="L179" s="140">
        <f>IF(ISNUMBER(J179), $B199 * K179, "")</f>
        <v>-4118.9931350114412</v>
      </c>
      <c r="M179" s="38">
        <v>2150</v>
      </c>
      <c r="N179" s="72">
        <f>IF(ISNUMBER(M179), (M179 - $B179) / $B179, "")</f>
        <v>-1.6018306636155607E-2</v>
      </c>
      <c r="O179" s="140">
        <f>IF(ISNUMBER(M179), $B199 * N179, "")</f>
        <v>-2402.7459954233409</v>
      </c>
      <c r="Q179" s="270"/>
      <c r="R179" s="270"/>
      <c r="S179" s="270"/>
    </row>
    <row r="180" spans="1:19" ht="17.25" thickBot="1">
      <c r="A180" s="124" t="s">
        <v>280</v>
      </c>
      <c r="B180" s="125">
        <v>1520</v>
      </c>
      <c r="C180" s="73">
        <v>-1.6181229799999999E-2</v>
      </c>
      <c r="D180" s="125">
        <v>1510</v>
      </c>
      <c r="E180" s="73">
        <f t="shared" ref="E180:E183" si="108">IF(ISNUMBER(D180), (D180 - $B180) / $B180, "")</f>
        <v>-6.5789473684210523E-3</v>
      </c>
      <c r="F180" s="136">
        <f>IF(ISNUMBER(D180), $B199 * E180, "")</f>
        <v>-986.8421052631578</v>
      </c>
      <c r="G180" s="39">
        <v>1460</v>
      </c>
      <c r="H180" s="73">
        <f t="shared" ref="H180:H183" si="109">IF(ISNUMBER(G180), (G180 - $B180) / $B180, "")</f>
        <v>-3.9473684210526314E-2</v>
      </c>
      <c r="I180" s="202">
        <f>IF(ISNUMBER(G180), $B199 * H180, "")</f>
        <v>-5921.0526315789466</v>
      </c>
      <c r="J180" s="125">
        <v>1475</v>
      </c>
      <c r="K180" s="73">
        <f t="shared" ref="K180:K183" si="110">IF(ISNUMBER(J180), (J180 - $B180) / $B180, "")</f>
        <v>-2.9605263157894735E-2</v>
      </c>
      <c r="L180" s="136">
        <f>IF(ISNUMBER(J180), $B199 * K180, "")</f>
        <v>-4440.78947368421</v>
      </c>
      <c r="M180" s="39">
        <v>1480</v>
      </c>
      <c r="N180" s="73">
        <f t="shared" ref="N180:N183" si="111">IF(ISNUMBER(M180), (M180 - $B180) / $B180, "")</f>
        <v>-2.6315789473684209E-2</v>
      </c>
      <c r="O180" s="136">
        <f>IF(ISNUMBER(M180), $B199 * N180, "")</f>
        <v>-3947.3684210526312</v>
      </c>
      <c r="Q180" s="270"/>
      <c r="R180" s="270"/>
      <c r="S180" s="270"/>
    </row>
    <row r="181" spans="1:19" ht="17.25" thickBot="1">
      <c r="A181" s="124" t="s">
        <v>80</v>
      </c>
      <c r="B181" s="125">
        <v>1495</v>
      </c>
      <c r="C181" s="73">
        <v>-1.6447368399999999E-2</v>
      </c>
      <c r="D181" s="125">
        <v>1500</v>
      </c>
      <c r="E181" s="73">
        <f t="shared" si="108"/>
        <v>3.3444816053511705E-3</v>
      </c>
      <c r="F181" s="136">
        <f>IF(ISNUMBER(D181), $B199 * E181, "")</f>
        <v>501.67224080267556</v>
      </c>
      <c r="G181" s="39">
        <v>1445</v>
      </c>
      <c r="H181" s="73">
        <f t="shared" si="109"/>
        <v>-3.3444816053511704E-2</v>
      </c>
      <c r="I181" s="202">
        <f>IF(ISNUMBER(G181), $B199 * H181, "")</f>
        <v>-5016.7224080267561</v>
      </c>
      <c r="J181" s="125">
        <v>1470</v>
      </c>
      <c r="K181" s="73">
        <f t="shared" si="110"/>
        <v>-1.6722408026755852E-2</v>
      </c>
      <c r="L181" s="136">
        <f>IF(ISNUMBER(J181), $B199 * K181, "")</f>
        <v>-2508.361204013378</v>
      </c>
      <c r="M181" s="39">
        <v>1465</v>
      </c>
      <c r="N181" s="73">
        <f t="shared" si="111"/>
        <v>-2.0066889632107024E-2</v>
      </c>
      <c r="O181" s="136">
        <f>IF(ISNUMBER(M181), $B199 * N181, "")</f>
        <v>-3010.0334448160534</v>
      </c>
      <c r="Q181" s="275"/>
      <c r="R181" s="275"/>
      <c r="S181" s="275"/>
    </row>
    <row r="182" spans="1:19" ht="17.25" thickBot="1">
      <c r="A182" s="124" t="s">
        <v>142</v>
      </c>
      <c r="B182" s="125">
        <v>415</v>
      </c>
      <c r="C182" s="73">
        <v>-1.6587677700000001E-2</v>
      </c>
      <c r="D182" s="125">
        <v>407</v>
      </c>
      <c r="E182" s="73">
        <f t="shared" si="108"/>
        <v>-1.9277108433734941E-2</v>
      </c>
      <c r="F182" s="136">
        <f>IF(ISNUMBER(D182), $B199 * E182, "")</f>
        <v>-2891.5662650602412</v>
      </c>
      <c r="G182" s="39">
        <v>399</v>
      </c>
      <c r="H182" s="73">
        <f t="shared" si="109"/>
        <v>-3.8554216867469883E-2</v>
      </c>
      <c r="I182" s="202">
        <f>IF(ISNUMBER(G182), $B199 * H182, "")</f>
        <v>-5783.1325301204824</v>
      </c>
      <c r="J182" s="125">
        <v>402</v>
      </c>
      <c r="K182" s="73">
        <f t="shared" si="110"/>
        <v>-3.1325301204819279E-2</v>
      </c>
      <c r="L182" s="136">
        <f>IF(ISNUMBER(J182), $B199 * K182, "")</f>
        <v>-4698.7951807228919</v>
      </c>
      <c r="M182" s="39">
        <v>405</v>
      </c>
      <c r="N182" s="73">
        <f t="shared" si="111"/>
        <v>-2.4096385542168676E-2</v>
      </c>
      <c r="O182" s="136">
        <f>IF(ISNUMBER(M182), $B199 * N182, "")</f>
        <v>-3614.4578313253014</v>
      </c>
      <c r="Q182" s="275"/>
      <c r="R182" s="275"/>
      <c r="S182" s="275"/>
    </row>
    <row r="183" spans="1:19" ht="17.25" thickBot="1">
      <c r="A183" s="126" t="s">
        <v>49</v>
      </c>
      <c r="B183" s="127">
        <v>62017000</v>
      </c>
      <c r="C183" s="74">
        <v>-1.6680144000000001E-2</v>
      </c>
      <c r="D183" s="127">
        <v>61446000</v>
      </c>
      <c r="E183" s="74">
        <f t="shared" si="108"/>
        <v>-9.2071528774368312E-3</v>
      </c>
      <c r="F183" s="203">
        <f>IF(ISNUMBER(D183), $B199 * E183, "")</f>
        <v>-1381.0729316155248</v>
      </c>
      <c r="G183" s="44">
        <v>60262000</v>
      </c>
      <c r="H183" s="74">
        <f t="shared" si="109"/>
        <v>-2.8298692294048407E-2</v>
      </c>
      <c r="I183" s="204">
        <f>IF(ISNUMBER(G183), $B199 * H183, "")</f>
        <v>-4244.8038441072613</v>
      </c>
      <c r="J183" s="127">
        <v>60760000</v>
      </c>
      <c r="K183" s="74">
        <f t="shared" si="110"/>
        <v>-2.0268636019156037E-2</v>
      </c>
      <c r="L183" s="203">
        <f>IF(ISNUMBER(J183), $B199 * K183, "")</f>
        <v>-3040.2954028734057</v>
      </c>
      <c r="M183" s="44">
        <v>60874000</v>
      </c>
      <c r="N183" s="74">
        <f t="shared" si="111"/>
        <v>-1.8430430365867424E-2</v>
      </c>
      <c r="O183" s="203">
        <f>IF(ISNUMBER(M183), $B199 * N183, "")</f>
        <v>-2764.5645548801135</v>
      </c>
      <c r="Q183" s="275"/>
      <c r="R183" s="275"/>
      <c r="S183" s="275"/>
    </row>
    <row r="184" spans="1:19" ht="17.25" thickBot="1">
      <c r="A184" s="124" t="s">
        <v>268</v>
      </c>
      <c r="B184" s="128">
        <v>79.5</v>
      </c>
      <c r="C184" s="76">
        <v>-2.0935960600000001E-2</v>
      </c>
      <c r="D184" s="128">
        <v>80.900000000000006</v>
      </c>
      <c r="E184" s="76">
        <f>IF(ISNUMBER(D184), (D184 - $B184) / $B184, "")</f>
        <v>1.7610062893081833E-2</v>
      </c>
      <c r="F184" s="205">
        <f>IF(ISNUMBER(D184), $B199 * E184, "")</f>
        <v>2641.5094339622751</v>
      </c>
      <c r="G184" s="45">
        <v>77.900000000000006</v>
      </c>
      <c r="H184" s="76">
        <f>IF(ISNUMBER(G184), (G184 - $B184) / $B184, "")</f>
        <v>-2.0125786163521942E-2</v>
      </c>
      <c r="I184" s="206">
        <f>IF(ISNUMBER(G184), $B199 * H184, "")</f>
        <v>-3018.8679245282915</v>
      </c>
      <c r="J184" s="128">
        <v>78.400000000000006</v>
      </c>
      <c r="K184" s="76">
        <f>IF(ISNUMBER(J184), (J184 - $B184) / $B184, "")</f>
        <v>-1.3836477987421313E-2</v>
      </c>
      <c r="L184" s="205">
        <f>IF(ISNUMBER(J184), $B199 * K184, "")</f>
        <v>-2075.4716981131969</v>
      </c>
      <c r="M184" s="45">
        <v>79</v>
      </c>
      <c r="N184" s="76">
        <f>IF(ISNUMBER(M184), (M184 - $B184) / $B184, "")</f>
        <v>-6.2893081761006293E-3</v>
      </c>
      <c r="O184" s="205">
        <f>IF(ISNUMBER(M184), $B199 * N184, "")</f>
        <v>-943.39622641509436</v>
      </c>
      <c r="Q184" s="275"/>
      <c r="R184" s="275"/>
      <c r="S184" s="275"/>
    </row>
    <row r="185" spans="1:19" ht="17.25" thickBot="1">
      <c r="A185" s="124" t="s">
        <v>82</v>
      </c>
      <c r="B185" s="125">
        <v>1400</v>
      </c>
      <c r="C185" s="73">
        <v>-2.0979021E-2</v>
      </c>
      <c r="D185" s="125">
        <v>1400</v>
      </c>
      <c r="E185" s="73">
        <f t="shared" ref="E185:E188" si="112">IF(ISNUMBER(D185), (D185 - $B185) / $B185, "")</f>
        <v>0</v>
      </c>
      <c r="F185" s="136">
        <f>IF(ISNUMBER(D185), $B199 * E185, "")</f>
        <v>0</v>
      </c>
      <c r="G185" s="39">
        <v>1350</v>
      </c>
      <c r="H185" s="73">
        <f t="shared" ref="H185:H188" si="113">IF(ISNUMBER(G185), (G185 - $B185) / $B185, "")</f>
        <v>-3.5714285714285712E-2</v>
      </c>
      <c r="I185" s="202">
        <f>IF(ISNUMBER(G185), $B199 * H185, "")</f>
        <v>-5357.1428571428569</v>
      </c>
      <c r="J185" s="125">
        <v>1360</v>
      </c>
      <c r="K185" s="73">
        <f t="shared" ref="K185:K188" si="114">IF(ISNUMBER(J185), (J185 - $B185) / $B185, "")</f>
        <v>-2.8571428571428571E-2</v>
      </c>
      <c r="L185" s="136">
        <f>IF(ISNUMBER(J185), $B199 * K185, "")</f>
        <v>-4285.7142857142853</v>
      </c>
      <c r="M185" s="39">
        <v>1360</v>
      </c>
      <c r="N185" s="73">
        <f t="shared" ref="N185:N188" si="115">IF(ISNUMBER(M185), (M185 - $B185) / $B185, "")</f>
        <v>-2.8571428571428571E-2</v>
      </c>
      <c r="O185" s="136">
        <f>IF(ISNUMBER(M185), $B199 * N185, "")</f>
        <v>-4285.7142857142853</v>
      </c>
      <c r="Q185" s="275"/>
      <c r="R185" s="275"/>
      <c r="S185" s="275"/>
    </row>
    <row r="186" spans="1:19" ht="17.25" thickBot="1">
      <c r="A186" s="124" t="s">
        <v>184</v>
      </c>
      <c r="B186" s="125">
        <v>2490</v>
      </c>
      <c r="C186" s="73">
        <v>-2.35294118E-2</v>
      </c>
      <c r="D186" s="125">
        <v>2475</v>
      </c>
      <c r="E186" s="73">
        <f t="shared" si="112"/>
        <v>-6.024096385542169E-3</v>
      </c>
      <c r="F186" s="136">
        <f>IF(ISNUMBER(D186), $B199 * E186, "")</f>
        <v>-903.61445783132535</v>
      </c>
      <c r="G186" s="39">
        <v>2405</v>
      </c>
      <c r="H186" s="73">
        <f t="shared" si="113"/>
        <v>-3.4136546184738957E-2</v>
      </c>
      <c r="I186" s="202">
        <f>IF(ISNUMBER(G186), $B199 * H186, "")</f>
        <v>-5120.4819277108436</v>
      </c>
      <c r="J186" s="125">
        <v>2440</v>
      </c>
      <c r="K186" s="73">
        <f t="shared" si="114"/>
        <v>-2.0080321285140562E-2</v>
      </c>
      <c r="L186" s="136">
        <f>IF(ISNUMBER(J186), $B199 * K186, "")</f>
        <v>-3012.0481927710844</v>
      </c>
      <c r="M186" s="39">
        <v>2485</v>
      </c>
      <c r="N186" s="73">
        <f t="shared" si="115"/>
        <v>-2.008032128514056E-3</v>
      </c>
      <c r="O186" s="136">
        <f>IF(ISNUMBER(M186), $B199 * N186, "")</f>
        <v>-301.20481927710841</v>
      </c>
      <c r="Q186" s="275"/>
      <c r="R186" s="275"/>
      <c r="S186" s="275"/>
    </row>
    <row r="187" spans="1:19" ht="17.25" thickBot="1">
      <c r="A187" s="124" t="s">
        <v>202</v>
      </c>
      <c r="B187" s="125">
        <v>166</v>
      </c>
      <c r="C187" s="73">
        <v>-2.35294118E-2</v>
      </c>
      <c r="D187" s="125">
        <v>164</v>
      </c>
      <c r="E187" s="73">
        <f t="shared" si="112"/>
        <v>-1.2048192771084338E-2</v>
      </c>
      <c r="F187" s="136">
        <f>IF(ISNUMBER(D187), $B199 * E187, "")</f>
        <v>-1807.2289156626507</v>
      </c>
      <c r="G187" s="39">
        <v>161</v>
      </c>
      <c r="H187" s="73">
        <f t="shared" si="113"/>
        <v>-3.0120481927710843E-2</v>
      </c>
      <c r="I187" s="202">
        <f>IF(ISNUMBER(G187), $B199 * H187, "")</f>
        <v>-4518.0722891566265</v>
      </c>
      <c r="J187" s="125">
        <v>162</v>
      </c>
      <c r="K187" s="73">
        <f t="shared" si="114"/>
        <v>-2.4096385542168676E-2</v>
      </c>
      <c r="L187" s="136">
        <f>IF(ISNUMBER(J187), $B199 * K187, "")</f>
        <v>-3614.4578313253014</v>
      </c>
      <c r="M187" s="39">
        <v>163</v>
      </c>
      <c r="N187" s="73">
        <f t="shared" si="115"/>
        <v>-1.8072289156626505E-2</v>
      </c>
      <c r="O187" s="136">
        <f>IF(ISNUMBER(M187), $B199 * N187, "")</f>
        <v>-2710.8433734939758</v>
      </c>
      <c r="Q187" s="33"/>
      <c r="R187" s="33"/>
    </row>
    <row r="188" spans="1:19" ht="17.25" thickBot="1">
      <c r="A188" s="129" t="s">
        <v>252</v>
      </c>
      <c r="B188" s="130">
        <v>446</v>
      </c>
      <c r="C188" s="75">
        <v>-2.6200873400000001E-2</v>
      </c>
      <c r="D188" s="130">
        <v>449</v>
      </c>
      <c r="E188" s="75">
        <f t="shared" si="112"/>
        <v>6.7264573991031393E-3</v>
      </c>
      <c r="F188" s="137">
        <f>IF(ISNUMBER(D188), $B199 * E188, "")</f>
        <v>1008.9686098654709</v>
      </c>
      <c r="G188" s="37">
        <v>432</v>
      </c>
      <c r="H188" s="75">
        <f t="shared" si="113"/>
        <v>-3.1390134529147982E-2</v>
      </c>
      <c r="I188" s="207">
        <f>IF(ISNUMBER(G188), $B199 * H188, "")</f>
        <v>-4708.5201793721972</v>
      </c>
      <c r="J188" s="130">
        <v>437</v>
      </c>
      <c r="K188" s="75">
        <f t="shared" si="114"/>
        <v>-2.0179372197309416E-2</v>
      </c>
      <c r="L188" s="137">
        <f>IF(ISNUMBER(J188), $B199 * K188, "")</f>
        <v>-3026.9058295964123</v>
      </c>
      <c r="M188" s="37">
        <v>438</v>
      </c>
      <c r="N188" s="75">
        <f t="shared" si="115"/>
        <v>-1.7937219730941704E-2</v>
      </c>
      <c r="O188" s="137">
        <f>IF(ISNUMBER(M188), $B199 * N188, "")</f>
        <v>-2690.5829596412555</v>
      </c>
      <c r="Q188" s="284"/>
      <c r="R188" s="285"/>
      <c r="S188" s="286"/>
    </row>
    <row r="189" spans="1:19">
      <c r="A189" s="122" t="s">
        <v>67</v>
      </c>
      <c r="B189" s="123">
        <v>7040</v>
      </c>
      <c r="C189" s="72">
        <v>-2.6279391400000001E-2</v>
      </c>
      <c r="D189" s="123">
        <v>7195</v>
      </c>
      <c r="E189" s="72">
        <f>IF(ISNUMBER(D189), (D189 - $B189) / $B189, "")</f>
        <v>2.2017045454545456E-2</v>
      </c>
      <c r="F189" s="140">
        <f>IF(ISNUMBER(D189), $B199 * E189, "")</f>
        <v>3302.5568181818185</v>
      </c>
      <c r="G189" s="38">
        <v>6945</v>
      </c>
      <c r="H189" s="72">
        <f>IF(ISNUMBER(G189), (G189 - $B189) / $B189, "")</f>
        <v>-1.3494318181818182E-2</v>
      </c>
      <c r="I189" s="201">
        <f>IF(ISNUMBER(G189), $B199 * H189, "")</f>
        <v>-2024.1477272727273</v>
      </c>
      <c r="J189" s="123">
        <v>7010</v>
      </c>
      <c r="K189" s="72">
        <f>IF(ISNUMBER(J189), (J189 - $B189) / $B189, "")</f>
        <v>-4.261363636363636E-3</v>
      </c>
      <c r="L189" s="140">
        <f>IF(ISNUMBER(J189), $B199 * K189, "")</f>
        <v>-639.20454545454538</v>
      </c>
      <c r="M189" s="38">
        <v>7020</v>
      </c>
      <c r="N189" s="72">
        <f>IF(ISNUMBER(M189), (M189 - $B189) / $B189, "")</f>
        <v>-2.840909090909091E-3</v>
      </c>
      <c r="O189" s="140">
        <f>IF(ISNUMBER(M189), $B199 * N189, "")</f>
        <v>-426.13636363636363</v>
      </c>
      <c r="Q189" s="287"/>
      <c r="R189" s="288"/>
      <c r="S189" s="289"/>
    </row>
    <row r="190" spans="1:19" ht="17.25" thickBot="1">
      <c r="A190" s="124" t="s">
        <v>204</v>
      </c>
      <c r="B190" s="125">
        <v>6370</v>
      </c>
      <c r="C190" s="73">
        <v>-2.67379679E-2</v>
      </c>
      <c r="D190" s="125">
        <v>6525</v>
      </c>
      <c r="E190" s="73">
        <f t="shared" ref="E190:E193" si="116">IF(ISNUMBER(D190), (D190 - $B190) / $B190, "")</f>
        <v>2.4332810047095761E-2</v>
      </c>
      <c r="F190" s="136">
        <f>IF(ISNUMBER(D190), $B199 * E190, "")</f>
        <v>3649.9215070643641</v>
      </c>
      <c r="G190" s="39">
        <v>6295</v>
      </c>
      <c r="H190" s="73">
        <f t="shared" ref="H190:H193" si="117">IF(ISNUMBER(G190), (G190 - $B190) / $B190, "")</f>
        <v>-1.1773940345368918E-2</v>
      </c>
      <c r="I190" s="202">
        <f>IF(ISNUMBER(G190), $B199 * H190, "")</f>
        <v>-1766.0910518053377</v>
      </c>
      <c r="J190" s="125">
        <v>6340</v>
      </c>
      <c r="K190" s="73">
        <f t="shared" ref="K190:K193" si="118">IF(ISNUMBER(J190), (J190 - $B190) / $B190, "")</f>
        <v>-4.7095761381475663E-3</v>
      </c>
      <c r="L190" s="136">
        <f>IF(ISNUMBER(J190), $B199 * K190, "")</f>
        <v>-706.43642072213493</v>
      </c>
      <c r="M190" s="39">
        <v>6375</v>
      </c>
      <c r="N190" s="73">
        <f t="shared" ref="N190:N193" si="119">IF(ISNUMBER(M190), (M190 - $B190) / $B190, "")</f>
        <v>7.8492935635792783E-4</v>
      </c>
      <c r="O190" s="136">
        <f>IF(ISNUMBER(M190), $B199 * N190, "")</f>
        <v>117.73940345368918</v>
      </c>
      <c r="Q190" s="290"/>
      <c r="R190" s="291"/>
      <c r="S190" s="292"/>
    </row>
    <row r="191" spans="1:19" ht="17.25" thickBot="1">
      <c r="A191" s="124" t="s">
        <v>276</v>
      </c>
      <c r="B191" s="125">
        <v>4365</v>
      </c>
      <c r="C191" s="73">
        <v>-3.4292035399999997E-2</v>
      </c>
      <c r="D191" s="125">
        <v>4415</v>
      </c>
      <c r="E191" s="73">
        <f t="shared" si="116"/>
        <v>1.1454753722794959E-2</v>
      </c>
      <c r="F191" s="136">
        <f>IF(ISNUMBER(D191), $B199 * E191, "")</f>
        <v>1718.2130584192439</v>
      </c>
      <c r="G191" s="39">
        <v>4255</v>
      </c>
      <c r="H191" s="73">
        <f t="shared" si="117"/>
        <v>-2.5200458190148912E-2</v>
      </c>
      <c r="I191" s="202">
        <f>IF(ISNUMBER(G191), $B199 * H191, "")</f>
        <v>-3780.0687285223371</v>
      </c>
      <c r="J191" s="125">
        <v>4290</v>
      </c>
      <c r="K191" s="73">
        <f t="shared" si="118"/>
        <v>-1.7182130584192441E-2</v>
      </c>
      <c r="L191" s="136">
        <f>IF(ISNUMBER(J191), $B199 * K191, "")</f>
        <v>-2577.319587628866</v>
      </c>
      <c r="M191" s="39">
        <v>4280</v>
      </c>
      <c r="N191" s="73">
        <f t="shared" si="119"/>
        <v>-1.9473081328751432E-2</v>
      </c>
      <c r="O191" s="136">
        <f>IF(ISNUMBER(M191), $B199 * N191, "")</f>
        <v>-2920.9621993127148</v>
      </c>
      <c r="Q191" s="275"/>
      <c r="R191" s="275"/>
      <c r="S191" s="275"/>
    </row>
    <row r="192" spans="1:19" ht="17.25" thickBot="1">
      <c r="A192" s="124" t="s">
        <v>54</v>
      </c>
      <c r="B192" s="125">
        <v>402</v>
      </c>
      <c r="C192" s="73">
        <v>-4.2857142899999999E-2</v>
      </c>
      <c r="D192" s="125">
        <v>394</v>
      </c>
      <c r="E192" s="73">
        <f t="shared" si="116"/>
        <v>-1.9900497512437811E-2</v>
      </c>
      <c r="F192" s="136">
        <f>IF(ISNUMBER(D192), $B199 * E192, "")</f>
        <v>-2985.0746268656717</v>
      </c>
      <c r="G192" s="39">
        <v>380</v>
      </c>
      <c r="H192" s="73">
        <f t="shared" si="117"/>
        <v>-5.4726368159203981E-2</v>
      </c>
      <c r="I192" s="202">
        <f>IF(ISNUMBER(G192), $B199 * H192, "")</f>
        <v>-8208.9552238805973</v>
      </c>
      <c r="J192" s="125">
        <v>384</v>
      </c>
      <c r="K192" s="73">
        <f t="shared" si="118"/>
        <v>-4.4776119402985072E-2</v>
      </c>
      <c r="L192" s="136">
        <f>IF(ISNUMBER(J192), $B199 * K192, "")</f>
        <v>-6716.4179104477607</v>
      </c>
      <c r="M192" s="39">
        <v>389</v>
      </c>
      <c r="N192" s="73">
        <f t="shared" si="119"/>
        <v>-3.2338308457711441E-2</v>
      </c>
      <c r="O192" s="136">
        <f>IF(ISNUMBER(M192), $B199 * N192, "")</f>
        <v>-4850.746268656716</v>
      </c>
      <c r="Q192" s="270"/>
      <c r="R192" s="270"/>
      <c r="S192" s="270"/>
    </row>
    <row r="193" spans="1:19" ht="17.25" thickBot="1">
      <c r="A193" s="126" t="s">
        <v>236</v>
      </c>
      <c r="B193" s="127">
        <v>69.099999999999994</v>
      </c>
      <c r="C193" s="74">
        <v>-4.2936288099999997E-2</v>
      </c>
      <c r="D193" s="127">
        <v>74.3</v>
      </c>
      <c r="E193" s="74">
        <f t="shared" si="116"/>
        <v>7.5253256150506556E-2</v>
      </c>
      <c r="F193" s="203">
        <f>IF(ISNUMBER(D193), $B199 * E193, "")</f>
        <v>11287.988422575983</v>
      </c>
      <c r="G193" s="44">
        <v>70</v>
      </c>
      <c r="H193" s="74">
        <f t="shared" si="117"/>
        <v>1.3024602026049287E-2</v>
      </c>
      <c r="I193" s="204">
        <f>IF(ISNUMBER(G193), $B199 * H193, "")</f>
        <v>1953.6903039073932</v>
      </c>
      <c r="J193" s="127">
        <v>70.7</v>
      </c>
      <c r="K193" s="74">
        <f t="shared" si="118"/>
        <v>2.3154848046309823E-2</v>
      </c>
      <c r="L193" s="203">
        <f>IF(ISNUMBER(J193), $B199 * K193, "")</f>
        <v>3473.2272069464734</v>
      </c>
      <c r="M193" s="44">
        <v>70.7</v>
      </c>
      <c r="N193" s="74">
        <f t="shared" si="119"/>
        <v>2.3154848046309823E-2</v>
      </c>
      <c r="O193" s="203">
        <f>IF(ISNUMBER(M193), $B199 * N193, "")</f>
        <v>3473.2272069464734</v>
      </c>
      <c r="Q193" s="270"/>
      <c r="R193" s="270"/>
      <c r="S193" s="270"/>
    </row>
    <row r="194" spans="1:19" ht="17.25" thickBot="1">
      <c r="A194" s="124" t="s">
        <v>84</v>
      </c>
      <c r="B194" s="128">
        <v>2325</v>
      </c>
      <c r="C194" s="76">
        <v>-4.5174538E-2</v>
      </c>
      <c r="D194" s="128">
        <v>2680</v>
      </c>
      <c r="E194" s="76">
        <f>IF(ISNUMBER(D194), (D194 - $B194) / $B194, "")</f>
        <v>0.15268817204301074</v>
      </c>
      <c r="F194" s="205">
        <f>IF(ISNUMBER(D194), $B199 * E194, "")</f>
        <v>22903.22580645161</v>
      </c>
      <c r="G194" s="45">
        <v>2685</v>
      </c>
      <c r="H194" s="76">
        <f>IF(ISNUMBER(G194), (G194 - $B194) / $B194, "")</f>
        <v>0.15483870967741936</v>
      </c>
      <c r="I194" s="206">
        <f>IF(ISNUMBER(G194), $B199 * H194, "")</f>
        <v>23225.806451612905</v>
      </c>
      <c r="J194" s="128">
        <v>2685</v>
      </c>
      <c r="K194" s="76">
        <f>IF(ISNUMBER(J194), (J194 - $B194) / $B194, "")</f>
        <v>0.15483870967741936</v>
      </c>
      <c r="L194" s="205">
        <f>IF(ISNUMBER(J194), $B199 * K194, "")</f>
        <v>23225.806451612905</v>
      </c>
      <c r="M194" s="45">
        <v>2810</v>
      </c>
      <c r="N194" s="76">
        <f>IF(ISNUMBER(M194), (M194 - $B194) / $B194, "")</f>
        <v>0.2086021505376344</v>
      </c>
      <c r="O194" s="205">
        <f>IF(ISNUMBER(M194), $B199 * N194, "")</f>
        <v>31290.322580645159</v>
      </c>
      <c r="Q194" s="275"/>
      <c r="R194" s="275"/>
      <c r="S194" s="275"/>
    </row>
    <row r="195" spans="1:19" ht="17.25" thickBot="1">
      <c r="A195" s="124" t="s">
        <v>190</v>
      </c>
      <c r="B195" s="125">
        <v>64620</v>
      </c>
      <c r="C195" s="73">
        <v>-4.7745358100000003E-2</v>
      </c>
      <c r="D195" s="125">
        <v>66740</v>
      </c>
      <c r="E195" s="73">
        <f t="shared" ref="E195:E198" si="120">IF(ISNUMBER(D195), (D195 - $B195) / $B195, "")</f>
        <v>3.280718043949242E-2</v>
      </c>
      <c r="F195" s="136">
        <f>IF(ISNUMBER(D195), $B199 * E195, "")</f>
        <v>4921.0770659238633</v>
      </c>
      <c r="G195" s="39">
        <v>64980</v>
      </c>
      <c r="H195" s="73">
        <f t="shared" ref="H195:H198" si="121">IF(ISNUMBER(G195), (G195 - $B195) / $B195, "")</f>
        <v>5.5710306406685237E-3</v>
      </c>
      <c r="I195" s="202">
        <f>IF(ISNUMBER(G195), $B199 * H195, "")</f>
        <v>835.65459610027858</v>
      </c>
      <c r="J195" s="125">
        <v>65840</v>
      </c>
      <c r="K195" s="73">
        <f t="shared" ref="K195:K198" si="122">IF(ISNUMBER(J195), (J195 - $B195) / $B195, "")</f>
        <v>1.8879603837821109E-2</v>
      </c>
      <c r="L195" s="136">
        <f>IF(ISNUMBER(J195), $B199 * K195, "")</f>
        <v>2831.9405756731662</v>
      </c>
      <c r="M195" s="39">
        <v>65760</v>
      </c>
      <c r="N195" s="73">
        <f t="shared" ref="N195:N198" si="123">IF(ISNUMBER(M195), (M195 - $B195) / $B195, "")</f>
        <v>1.7641597028783658E-2</v>
      </c>
      <c r="O195" s="136">
        <f>IF(ISNUMBER(M195), $B199 * N195, "")</f>
        <v>2646.2395543175485</v>
      </c>
      <c r="Q195" s="275"/>
      <c r="R195" s="275"/>
      <c r="S195" s="275"/>
    </row>
    <row r="196" spans="1:19" ht="17.25" thickBot="1">
      <c r="A196" s="124" t="s">
        <v>208</v>
      </c>
      <c r="B196" s="125">
        <v>450</v>
      </c>
      <c r="C196" s="73">
        <v>-5.6603773599999997E-2</v>
      </c>
      <c r="D196" s="125">
        <v>449</v>
      </c>
      <c r="E196" s="73">
        <f t="shared" si="120"/>
        <v>-2.2222222222222222E-3</v>
      </c>
      <c r="F196" s="136">
        <f>IF(ISNUMBER(D196), $B199 * E196, "")</f>
        <v>-333.33333333333331</v>
      </c>
      <c r="G196" s="39">
        <v>431</v>
      </c>
      <c r="H196" s="73">
        <f t="shared" si="121"/>
        <v>-4.2222222222222223E-2</v>
      </c>
      <c r="I196" s="202">
        <f>IF(ISNUMBER(G196), $B199 * H196, "")</f>
        <v>-6333.3333333333339</v>
      </c>
      <c r="J196" s="125">
        <v>437</v>
      </c>
      <c r="K196" s="73">
        <f t="shared" si="122"/>
        <v>-2.8888888888888888E-2</v>
      </c>
      <c r="L196" s="136">
        <f>IF(ISNUMBER(J196), $B199 * K196, "")</f>
        <v>-4333.333333333333</v>
      </c>
      <c r="M196" s="39">
        <v>436</v>
      </c>
      <c r="N196" s="73">
        <f t="shared" si="123"/>
        <v>-3.111111111111111E-2</v>
      </c>
      <c r="O196" s="136">
        <f>IF(ISNUMBER(M196), $B199 * N196, "")</f>
        <v>-4666.666666666667</v>
      </c>
      <c r="Q196" s="275"/>
      <c r="R196" s="275"/>
      <c r="S196" s="275"/>
    </row>
    <row r="197" spans="1:19">
      <c r="A197" s="124" t="s">
        <v>172</v>
      </c>
      <c r="B197" s="125">
        <v>23</v>
      </c>
      <c r="C197" s="73">
        <v>-5.7377049200000002E-2</v>
      </c>
      <c r="D197" s="125">
        <v>22.9</v>
      </c>
      <c r="E197" s="73">
        <f t="shared" si="120"/>
        <v>-4.3478260869565834E-3</v>
      </c>
      <c r="F197" s="136">
        <f>IF(ISNUMBER(D197), $B199 * E197, "")</f>
        <v>-652.17391304348746</v>
      </c>
      <c r="G197" s="39">
        <v>22.4</v>
      </c>
      <c r="H197" s="73">
        <f t="shared" si="121"/>
        <v>-2.6086956521739191E-2</v>
      </c>
      <c r="I197" s="202">
        <f>IF(ISNUMBER(G197), $B199 * H197, "")</f>
        <v>-3913.0434782608786</v>
      </c>
      <c r="J197" s="125">
        <v>22.6</v>
      </c>
      <c r="K197" s="73">
        <f t="shared" si="122"/>
        <v>-1.7391304347826025E-2</v>
      </c>
      <c r="L197" s="136">
        <f>IF(ISNUMBER(J197), $B199 * K197, "")</f>
        <v>-2608.6956521739039</v>
      </c>
      <c r="M197" s="39">
        <v>22.5</v>
      </c>
      <c r="N197" s="73">
        <f t="shared" si="123"/>
        <v>-2.1739130434782608E-2</v>
      </c>
      <c r="O197" s="136">
        <f>IF(ISNUMBER(M197), $B199 * N197, "")</f>
        <v>-3260.869565217391</v>
      </c>
      <c r="Q197" s="297"/>
      <c r="R197" s="298"/>
      <c r="S197" s="299"/>
    </row>
    <row r="198" spans="1:19" ht="17.25" thickBot="1">
      <c r="A198" s="129" t="s">
        <v>182</v>
      </c>
      <c r="B198" s="130">
        <v>523</v>
      </c>
      <c r="C198" s="75">
        <v>-7.4336283200000006E-2</v>
      </c>
      <c r="D198" s="130">
        <v>520</v>
      </c>
      <c r="E198" s="75">
        <f t="shared" si="120"/>
        <v>-5.7361376673040155E-3</v>
      </c>
      <c r="F198" s="137">
        <f>IF(ISNUMBER(D198), $B199 * E198, "")</f>
        <v>-860.42065009560235</v>
      </c>
      <c r="G198" s="37">
        <v>501</v>
      </c>
      <c r="H198" s="75">
        <f t="shared" si="121"/>
        <v>-4.2065009560229447E-2</v>
      </c>
      <c r="I198" s="207">
        <f>IF(ISNUMBER(G198), $B199 * H198, "")</f>
        <v>-6309.7514340344169</v>
      </c>
      <c r="J198" s="130">
        <v>503</v>
      </c>
      <c r="K198" s="75">
        <f t="shared" si="122"/>
        <v>-3.8240917782026769E-2</v>
      </c>
      <c r="L198" s="137">
        <f>IF(ISNUMBER(J198), $B199 * K198, "")</f>
        <v>-5736.1376673040149</v>
      </c>
      <c r="M198" s="37">
        <v>507</v>
      </c>
      <c r="N198" s="75">
        <f t="shared" si="123"/>
        <v>-3.0592734225621414E-2</v>
      </c>
      <c r="O198" s="137">
        <f>IF(ISNUMBER(M198), $B199 * N198, "")</f>
        <v>-4588.910133843212</v>
      </c>
      <c r="Q198" s="300"/>
      <c r="R198" s="301"/>
      <c r="S198" s="302"/>
    </row>
    <row r="199" spans="1:19" ht="17.25" thickBot="1">
      <c r="A199" s="131" t="s">
        <v>301</v>
      </c>
      <c r="B199" s="308">
        <f>$B$37</f>
        <v>150000</v>
      </c>
      <c r="C199" s="309"/>
      <c r="D199" s="131" t="s">
        <v>302</v>
      </c>
      <c r="E199" s="236">
        <f>IF(COUNT(E179:E198), SUM(E179:E198) / COUNT(E179:E198), 0)</f>
        <v>1.3159018397464643E-2</v>
      </c>
      <c r="F199" s="208">
        <f>SUM(F179:F198)</f>
        <v>39477.055192393935</v>
      </c>
      <c r="G199" s="131" t="s">
        <v>302</v>
      </c>
      <c r="H199" s="236">
        <f>IF(COUNT(H179:H198), SUM(H179:H198) / COUNT(H179:H198), 0)</f>
        <v>-1.8157092926720794E-2</v>
      </c>
      <c r="I199" s="208">
        <f>SUM(I179:I198)</f>
        <v>-54471.278780162378</v>
      </c>
      <c r="J199" s="131" t="s">
        <v>302</v>
      </c>
      <c r="K199" s="236">
        <f>IF(COUNT(K179:K198), SUM(K179:K198) / COUNT(K179:K198), 0)</f>
        <v>-9.5361343722192102E-3</v>
      </c>
      <c r="L199" s="208">
        <f>SUM(L179:L198)</f>
        <v>-28608.403116657624</v>
      </c>
      <c r="M199" s="131" t="s">
        <v>302</v>
      </c>
      <c r="N199" s="236">
        <f>IF(COUNT(N179:N198), SUM(N179:N198) / COUNT(N179:N198), 0)</f>
        <v>-3.2858914546697844E-3</v>
      </c>
      <c r="O199" s="208">
        <f>SUM(O179:O198)</f>
        <v>-9857.67436400935</v>
      </c>
      <c r="Q199" s="303"/>
      <c r="R199" s="304"/>
      <c r="S199" s="30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7" priority="157">
      <formula>AND($N17 &gt; 0, ISNUMBER($N17))</formula>
    </cfRule>
    <cfRule type="expression" dxfId="356" priority="158">
      <formula>AND($N17 = 0 * ISNUMBER($N17))</formula>
    </cfRule>
    <cfRule type="expression" dxfId="355" priority="159">
      <formula>AND($N17 &lt; 0, ISNUMBER($N17))</formula>
    </cfRule>
  </conditionalFormatting>
  <conditionalFormatting sqref="A17:F36">
    <cfRule type="expression" dxfId="354" priority="166">
      <formula>AND($E17 &gt; 0, ISNUMBER($E17))</formula>
    </cfRule>
    <cfRule type="expression" dxfId="353" priority="167">
      <formula>AND($E17 = 0 * ISNUMBER($E17))</formula>
    </cfRule>
    <cfRule type="expression" dxfId="352" priority="168">
      <formula>AND($E17 &lt; 0, ISNUMBER($E17))</formula>
    </cfRule>
  </conditionalFormatting>
  <conditionalFormatting sqref="A17:C36 G17:I36">
    <cfRule type="expression" dxfId="351" priority="163">
      <formula>AND($H17 &gt; 0, ISNUMBER($H17))</formula>
    </cfRule>
    <cfRule type="expression" dxfId="350" priority="164">
      <formula>AND($H17 = 0 * ISNUMBER($H17))</formula>
    </cfRule>
    <cfRule type="expression" dxfId="349" priority="165">
      <formula>AND($H17 &lt; 0, ISNUMBER($H17))</formula>
    </cfRule>
  </conditionalFormatting>
  <conditionalFormatting sqref="A17:C36 J17:L36">
    <cfRule type="expression" dxfId="348" priority="160">
      <formula>AND($K17 &gt; 0, ISNUMBER($K17))</formula>
    </cfRule>
    <cfRule type="expression" dxfId="347" priority="161">
      <formula>AND($K17 = 0 * ISNUMBER($K17))</formula>
    </cfRule>
    <cfRule type="expression" dxfId="346" priority="162">
      <formula>AND($K17 &lt; 0, ISNUMBER($K17))</formula>
    </cfRule>
  </conditionalFormatting>
  <conditionalFormatting sqref="D15:F16 E37:F37">
    <cfRule type="expression" dxfId="345" priority="154">
      <formula>$E$37 &gt; 0</formula>
    </cfRule>
    <cfRule type="expression" dxfId="344" priority="155">
      <formula>$E$37 = 0</formula>
    </cfRule>
    <cfRule type="expression" dxfId="343" priority="156">
      <formula>$E$37 &lt; 0</formula>
    </cfRule>
  </conditionalFormatting>
  <conditionalFormatting sqref="G15:I16 H37:I37">
    <cfRule type="expression" dxfId="342" priority="151">
      <formula>$H$37 &gt; 0</formula>
    </cfRule>
    <cfRule type="expression" dxfId="341" priority="152">
      <formula>$H$37 = 0</formula>
    </cfRule>
    <cfRule type="expression" dxfId="340" priority="153">
      <formula>$H$37 &lt; 0</formula>
    </cfRule>
  </conditionalFormatting>
  <conditionalFormatting sqref="J15:L16 K37:L37">
    <cfRule type="expression" dxfId="339" priority="148">
      <formula>$K$37 &gt; 0</formula>
    </cfRule>
    <cfRule type="expression" dxfId="338" priority="149">
      <formula>$K$37 = 0</formula>
    </cfRule>
    <cfRule type="expression" dxfId="337" priority="150">
      <formula>$K$37 &lt; 0</formula>
    </cfRule>
  </conditionalFormatting>
  <conditionalFormatting sqref="M15:O16 N37:O37">
    <cfRule type="expression" dxfId="336" priority="145">
      <formula>$N$37 &gt; 0</formula>
    </cfRule>
    <cfRule type="expression" dxfId="335" priority="146">
      <formula>$N$37 = 0</formula>
    </cfRule>
    <cfRule type="expression" dxfId="334" priority="147">
      <formula>$N$37 &lt; 0</formula>
    </cfRule>
  </conditionalFormatting>
  <conditionalFormatting sqref="A44:C63 M44:O63">
    <cfRule type="expression" dxfId="333" priority="133">
      <formula>AND($N44 &gt; 0, ISNUMBER($N44))</formula>
    </cfRule>
    <cfRule type="expression" dxfId="332" priority="134">
      <formula>AND($N44 = 0 * ISNUMBER($N44))</formula>
    </cfRule>
    <cfRule type="expression" dxfId="331" priority="135">
      <formula>AND($N44 &lt; 0, ISNUMBER($N44))</formula>
    </cfRule>
  </conditionalFormatting>
  <conditionalFormatting sqref="A44:F63">
    <cfRule type="expression" dxfId="330" priority="142">
      <formula>AND($E44 &gt; 0, ISNUMBER($E44))</formula>
    </cfRule>
    <cfRule type="expression" dxfId="329" priority="143">
      <formula>AND($E44 = 0 * ISNUMBER($E44))</formula>
    </cfRule>
    <cfRule type="expression" dxfId="328" priority="144">
      <formula>AND($E44 &lt; 0, ISNUMBER($E44))</formula>
    </cfRule>
  </conditionalFormatting>
  <conditionalFormatting sqref="A44:C63 G44:I63">
    <cfRule type="expression" dxfId="327" priority="139">
      <formula>AND($H44 &gt; 0, ISNUMBER($H44))</formula>
    </cfRule>
    <cfRule type="expression" dxfId="326" priority="140">
      <formula>AND($H44 = 0 * ISNUMBER($H44))</formula>
    </cfRule>
    <cfRule type="expression" dxfId="325" priority="141">
      <formula>AND($H44 &lt; 0, ISNUMBER($H44))</formula>
    </cfRule>
  </conditionalFormatting>
  <conditionalFormatting sqref="A44:C63 J44:L63">
    <cfRule type="expression" dxfId="324" priority="136">
      <formula>AND($K44 &gt; 0, ISNUMBER($K44))</formula>
    </cfRule>
    <cfRule type="expression" dxfId="323" priority="137">
      <formula>AND($K44 = 0 * ISNUMBER($K44))</formula>
    </cfRule>
    <cfRule type="expression" dxfId="322" priority="138">
      <formula>AND($K44 &lt; 0, ISNUMBER($K44))</formula>
    </cfRule>
  </conditionalFormatting>
  <conditionalFormatting sqref="D42:F43 E64:F64">
    <cfRule type="expression" dxfId="321" priority="130">
      <formula>$E$64 &gt; 0</formula>
    </cfRule>
    <cfRule type="expression" dxfId="320" priority="131">
      <formula>$E$64 = 0</formula>
    </cfRule>
    <cfRule type="expression" dxfId="319" priority="132">
      <formula>$E$64 &lt; 0</formula>
    </cfRule>
  </conditionalFormatting>
  <conditionalFormatting sqref="G42:I43 H64:I64">
    <cfRule type="expression" dxfId="318" priority="127">
      <formula>$H$64 &gt; 0</formula>
    </cfRule>
    <cfRule type="expression" dxfId="317" priority="128">
      <formula>$H$64 = 0</formula>
    </cfRule>
    <cfRule type="expression" dxfId="316" priority="129">
      <formula>$H$64 &lt; 0</formula>
    </cfRule>
  </conditionalFormatting>
  <conditionalFormatting sqref="J42:L43 K64:L64">
    <cfRule type="expression" dxfId="315" priority="124">
      <formula>$K$64 &gt; 0</formula>
    </cfRule>
    <cfRule type="expression" dxfId="314" priority="125">
      <formula>$K$64 = 0</formula>
    </cfRule>
    <cfRule type="expression" dxfId="313" priority="126">
      <formula>$K$64 &lt; 0</formula>
    </cfRule>
  </conditionalFormatting>
  <conditionalFormatting sqref="M42:O43 N64:O64">
    <cfRule type="expression" dxfId="312" priority="121">
      <formula>$N$64 &gt; 0</formula>
    </cfRule>
    <cfRule type="expression" dxfId="311" priority="122">
      <formula>$N$64 = 0</formula>
    </cfRule>
    <cfRule type="expression" dxfId="310" priority="123">
      <formula>$N$64 &lt; 0</formula>
    </cfRule>
  </conditionalFormatting>
  <conditionalFormatting sqref="A71:C90 M71:O90">
    <cfRule type="expression" dxfId="309" priority="109">
      <formula>AND($N71 &gt; 0, ISNUMBER($N71))</formula>
    </cfRule>
    <cfRule type="expression" dxfId="308" priority="110">
      <formula>AND($N71 = 0 * ISNUMBER($N71))</formula>
    </cfRule>
    <cfRule type="expression" dxfId="307" priority="111">
      <formula>AND($N71 &lt; 0, ISNUMBER($N71))</formula>
    </cfRule>
  </conditionalFormatting>
  <conditionalFormatting sqref="A71:F90">
    <cfRule type="expression" dxfId="306" priority="118">
      <formula>AND($E71 &gt; 0, ISNUMBER($E71))</formula>
    </cfRule>
    <cfRule type="expression" dxfId="305" priority="119">
      <formula>AND($E71 = 0 * ISNUMBER($E71))</formula>
    </cfRule>
    <cfRule type="expression" dxfId="304" priority="120">
      <formula>AND($E71 &lt; 0, ISNUMBER($E71))</formula>
    </cfRule>
  </conditionalFormatting>
  <conditionalFormatting sqref="A71:C90 G71:I90">
    <cfRule type="expression" dxfId="303" priority="115">
      <formula>AND($H71 &gt; 0, ISNUMBER($H71))</formula>
    </cfRule>
    <cfRule type="expression" dxfId="302" priority="116">
      <formula>AND($H71 = 0 * ISNUMBER($H71))</formula>
    </cfRule>
    <cfRule type="expression" dxfId="301" priority="117">
      <formula>AND($H71 &lt; 0, ISNUMBER($H71))</formula>
    </cfRule>
  </conditionalFormatting>
  <conditionalFormatting sqref="A71:C90 J71:L90">
    <cfRule type="expression" dxfId="300" priority="112">
      <formula>AND($K71 &gt; 0, ISNUMBER($K71))</formula>
    </cfRule>
    <cfRule type="expression" dxfId="299" priority="113">
      <formula>AND($K71 = 0 * ISNUMBER($K71))</formula>
    </cfRule>
    <cfRule type="expression" dxfId="298" priority="114">
      <formula>AND($K71 &lt; 0, ISNUMBER($K71))</formula>
    </cfRule>
  </conditionalFormatting>
  <conditionalFormatting sqref="D69:F70 E91:F91">
    <cfRule type="expression" dxfId="297" priority="106">
      <formula>$E$91 &gt; 0</formula>
    </cfRule>
    <cfRule type="expression" dxfId="296" priority="107">
      <formula>$E$91 = 0</formula>
    </cfRule>
    <cfRule type="expression" dxfId="295" priority="108">
      <formula>$E$91 &lt; 0</formula>
    </cfRule>
  </conditionalFormatting>
  <conditionalFormatting sqref="G69:I70 H91:I91">
    <cfRule type="expression" dxfId="294" priority="103">
      <formula>$H$91 &gt; 0</formula>
    </cfRule>
    <cfRule type="expression" dxfId="293" priority="104">
      <formula>$H$91 = 0</formula>
    </cfRule>
    <cfRule type="expression" dxfId="292" priority="105">
      <formula>$H$91 &lt; 0</formula>
    </cfRule>
  </conditionalFormatting>
  <conditionalFormatting sqref="J69:L70 K91:L91">
    <cfRule type="expression" dxfId="291" priority="100">
      <formula>$K$91 &gt; 0</formula>
    </cfRule>
    <cfRule type="expression" dxfId="290" priority="101">
      <formula>$K$91 = 0</formula>
    </cfRule>
    <cfRule type="expression" dxfId="289" priority="102">
      <formula>$K$91 &lt; 0</formula>
    </cfRule>
  </conditionalFormatting>
  <conditionalFormatting sqref="M69:O70 N91:O91">
    <cfRule type="expression" dxfId="288" priority="97">
      <formula>$N$91 &gt; 0</formula>
    </cfRule>
    <cfRule type="expression" dxfId="287" priority="98">
      <formula>$N$91 = 0</formula>
    </cfRule>
    <cfRule type="expression" dxfId="286" priority="99">
      <formula>$N$91 &lt; 0</formula>
    </cfRule>
  </conditionalFormatting>
  <conditionalFormatting sqref="A98:C117 M98:O117">
    <cfRule type="expression" dxfId="285" priority="85">
      <formula>AND($N98 &gt; 0, ISNUMBER($N98))</formula>
    </cfRule>
    <cfRule type="expression" dxfId="284" priority="86">
      <formula>AND($N98 = 0 * ISNUMBER($N98))</formula>
    </cfRule>
    <cfRule type="expression" dxfId="283" priority="87">
      <formula>AND($N98 &lt; 0, ISNUMBER($N98))</formula>
    </cfRule>
  </conditionalFormatting>
  <conditionalFormatting sqref="A98:F117">
    <cfRule type="expression" dxfId="282" priority="94">
      <formula>AND($E98 &gt; 0, ISNUMBER($E98))</formula>
    </cfRule>
    <cfRule type="expression" dxfId="281" priority="95">
      <formula>AND($E98 = 0 * ISNUMBER($E98))</formula>
    </cfRule>
    <cfRule type="expression" dxfId="280" priority="96">
      <formula>AND($E98 &lt; 0, ISNUMBER($E98))</formula>
    </cfRule>
  </conditionalFormatting>
  <conditionalFormatting sqref="A98:C117 G98:I117">
    <cfRule type="expression" dxfId="279" priority="91">
      <formula>AND($H98 &gt; 0, ISNUMBER($H98))</formula>
    </cfRule>
    <cfRule type="expression" dxfId="278" priority="92">
      <formula>AND($H98 = 0 * ISNUMBER($H98))</formula>
    </cfRule>
    <cfRule type="expression" dxfId="277" priority="93">
      <formula>AND($H98 &lt; 0, ISNUMBER($H98))</formula>
    </cfRule>
  </conditionalFormatting>
  <conditionalFormatting sqref="A98:C117 J98:L117">
    <cfRule type="expression" dxfId="276" priority="88">
      <formula>AND($K98 &gt; 0, ISNUMBER($K98))</formula>
    </cfRule>
    <cfRule type="expression" dxfId="275" priority="89">
      <formula>AND($K98 = 0 * ISNUMBER($K98))</formula>
    </cfRule>
    <cfRule type="expression" dxfId="274" priority="90">
      <formula>AND($K98 &lt; 0, ISNUMBER($K98))</formula>
    </cfRule>
  </conditionalFormatting>
  <conditionalFormatting sqref="D96:F97 E118:F118">
    <cfRule type="expression" dxfId="273" priority="82">
      <formula>$E$118 &gt; 0</formula>
    </cfRule>
    <cfRule type="expression" dxfId="272" priority="83">
      <formula>$E$118 = 0</formula>
    </cfRule>
    <cfRule type="expression" dxfId="271" priority="84">
      <formula>$E$118 &lt; 0</formula>
    </cfRule>
  </conditionalFormatting>
  <conditionalFormatting sqref="G96:I97 H118:I118">
    <cfRule type="expression" dxfId="270" priority="79">
      <formula>$H$118 &gt; 0</formula>
    </cfRule>
    <cfRule type="expression" dxfId="269" priority="80">
      <formula>$H$118 = 0</formula>
    </cfRule>
    <cfRule type="expression" dxfId="268" priority="81">
      <formula>$H$118 &lt; 0</formula>
    </cfRule>
  </conditionalFormatting>
  <conditionalFormatting sqref="J96:L97 K118:L118">
    <cfRule type="expression" dxfId="267" priority="76">
      <formula>$K$118 &gt; 0</formula>
    </cfRule>
    <cfRule type="expression" dxfId="266" priority="77">
      <formula>$K$118 = 0</formula>
    </cfRule>
    <cfRule type="expression" dxfId="265" priority="78">
      <formula>$K$118 &lt; 0</formula>
    </cfRule>
  </conditionalFormatting>
  <conditionalFormatting sqref="M96:O97 N118:O118">
    <cfRule type="expression" dxfId="264" priority="73">
      <formula>$N$118 &gt; 0</formula>
    </cfRule>
    <cfRule type="expression" dxfId="263" priority="74">
      <formula>$N$118 = 0</formula>
    </cfRule>
    <cfRule type="expression" dxfId="262" priority="75">
      <formula>$N$118 &lt; 0</formula>
    </cfRule>
  </conditionalFormatting>
  <conditionalFormatting sqref="A125:C144 M125:O144">
    <cfRule type="expression" dxfId="261" priority="61">
      <formula>AND($N125 &gt; 0, ISNUMBER($N125))</formula>
    </cfRule>
    <cfRule type="expression" dxfId="260" priority="62">
      <formula>AND($N125 = 0 * ISNUMBER($N125))</formula>
    </cfRule>
    <cfRule type="expression" dxfId="259" priority="63">
      <formula>AND($N125 &lt; 0, ISNUMBER($N125))</formula>
    </cfRule>
  </conditionalFormatting>
  <conditionalFormatting sqref="A125:F144">
    <cfRule type="expression" dxfId="258" priority="70">
      <formula>AND($E125 &gt; 0, ISNUMBER($E125))</formula>
    </cfRule>
    <cfRule type="expression" dxfId="257" priority="71">
      <formula>AND($E125 = 0 * ISNUMBER($E125))</formula>
    </cfRule>
    <cfRule type="expression" dxfId="256" priority="72">
      <formula>AND($E125 &lt; 0, ISNUMBER($E125))</formula>
    </cfRule>
  </conditionalFormatting>
  <conditionalFormatting sqref="A125:C144 G125:I144">
    <cfRule type="expression" dxfId="255" priority="67">
      <formula>AND($H125 &gt; 0, ISNUMBER($H125))</formula>
    </cfRule>
    <cfRule type="expression" dxfId="254" priority="68">
      <formula>AND($H125 = 0 * ISNUMBER($H125))</formula>
    </cfRule>
    <cfRule type="expression" dxfId="253" priority="69">
      <formula>AND($H125 &lt; 0, ISNUMBER($H125))</formula>
    </cfRule>
  </conditionalFormatting>
  <conditionalFormatting sqref="A125:C144 J125:L144">
    <cfRule type="expression" dxfId="252" priority="64">
      <formula>AND($K125 &gt; 0, ISNUMBER($K125))</formula>
    </cfRule>
    <cfRule type="expression" dxfId="251" priority="65">
      <formula>AND($K125 = 0 * ISNUMBER($K125))</formula>
    </cfRule>
    <cfRule type="expression" dxfId="250" priority="66">
      <formula>AND($K125 &lt; 0, ISNUMBER($K125))</formula>
    </cfRule>
  </conditionalFormatting>
  <conditionalFormatting sqref="D123:F124 E145:F145">
    <cfRule type="expression" dxfId="249" priority="58">
      <formula>$E$145 &gt; 0</formula>
    </cfRule>
    <cfRule type="expression" dxfId="248" priority="59">
      <formula>$E$145 = 0</formula>
    </cfRule>
    <cfRule type="expression" dxfId="247" priority="60">
      <formula>$E$145 &lt; 0</formula>
    </cfRule>
  </conditionalFormatting>
  <conditionalFormatting sqref="G123:I124 H145:I145">
    <cfRule type="expression" dxfId="246" priority="55">
      <formula>$H$145 &gt; 0</formula>
    </cfRule>
    <cfRule type="expression" dxfId="245" priority="56">
      <formula>$H$145 = 0</formula>
    </cfRule>
    <cfRule type="expression" dxfId="244" priority="57">
      <formula>$H$145 &lt; 0</formula>
    </cfRule>
  </conditionalFormatting>
  <conditionalFormatting sqref="J123:L124 K145:L145">
    <cfRule type="expression" dxfId="243" priority="52">
      <formula>$K$145 &gt; 0</formula>
    </cfRule>
    <cfRule type="expression" dxfId="242" priority="53">
      <formula>$K$145 = 0</formula>
    </cfRule>
    <cfRule type="expression" dxfId="241" priority="54">
      <formula>$K$145 &lt; 0</formula>
    </cfRule>
  </conditionalFormatting>
  <conditionalFormatting sqref="M123:O124 N145:O145">
    <cfRule type="expression" dxfId="240" priority="49">
      <formula>$N$145 &gt; 0</formula>
    </cfRule>
    <cfRule type="expression" dxfId="239" priority="50">
      <formula>$N$145 = 0</formula>
    </cfRule>
    <cfRule type="expression" dxfId="238" priority="51">
      <formula>$N$145 &lt; 0</formula>
    </cfRule>
  </conditionalFormatting>
  <conditionalFormatting sqref="A152:C171 M152:O171">
    <cfRule type="expression" dxfId="237" priority="37">
      <formula>AND($N152 &gt; 0, ISNUMBER($N152))</formula>
    </cfRule>
    <cfRule type="expression" dxfId="236" priority="38">
      <formula>AND($N152 = 0 * ISNUMBER($N152))</formula>
    </cfRule>
    <cfRule type="expression" dxfId="235" priority="39">
      <formula>AND($N152 &lt; 0, ISNUMBER($N152))</formula>
    </cfRule>
  </conditionalFormatting>
  <conditionalFormatting sqref="A152:F171">
    <cfRule type="expression" dxfId="234" priority="46">
      <formula>AND($E152 &gt; 0, ISNUMBER($E152))</formula>
    </cfRule>
    <cfRule type="expression" dxfId="233" priority="47">
      <formula>AND($E152 = 0 * ISNUMBER($E152))</formula>
    </cfRule>
    <cfRule type="expression" dxfId="232" priority="48">
      <formula>AND($E152 &lt; 0, ISNUMBER($E152))</formula>
    </cfRule>
  </conditionalFormatting>
  <conditionalFormatting sqref="A152:C171 G152:I171">
    <cfRule type="expression" dxfId="231" priority="43">
      <formula>AND($H152 &gt; 0, ISNUMBER($H152))</formula>
    </cfRule>
    <cfRule type="expression" dxfId="230" priority="44">
      <formula>AND($H152 = 0 * ISNUMBER($H152))</formula>
    </cfRule>
    <cfRule type="expression" dxfId="229" priority="45">
      <formula>AND($H152 &lt; 0, ISNUMBER($H152))</formula>
    </cfRule>
  </conditionalFormatting>
  <conditionalFormatting sqref="A152:C171 J152:L171">
    <cfRule type="expression" dxfId="228" priority="40">
      <formula>AND($K152 &gt; 0, ISNUMBER($K152))</formula>
    </cfRule>
    <cfRule type="expression" dxfId="227" priority="41">
      <formula>AND($K152 = 0 * ISNUMBER($K152))</formula>
    </cfRule>
    <cfRule type="expression" dxfId="226" priority="42">
      <formula>AND($K152 &lt; 0, ISNUMBER($K152))</formula>
    </cfRule>
  </conditionalFormatting>
  <conditionalFormatting sqref="D150:F151 E172:F172">
    <cfRule type="expression" dxfId="225" priority="34">
      <formula>$E$172 &gt; 0</formula>
    </cfRule>
    <cfRule type="expression" dxfId="224" priority="35">
      <formula>$E$172 = 0</formula>
    </cfRule>
    <cfRule type="expression" dxfId="223" priority="36">
      <formula>$E$172 &lt; 0</formula>
    </cfRule>
  </conditionalFormatting>
  <conditionalFormatting sqref="G150:I151 H172:I172">
    <cfRule type="expression" dxfId="222" priority="31">
      <formula>$H$172 &gt; 0</formula>
    </cfRule>
    <cfRule type="expression" dxfId="221" priority="32">
      <formula>$H$172 = 0</formula>
    </cfRule>
    <cfRule type="expression" dxfId="220" priority="33">
      <formula>$H$172 &lt; 0</formula>
    </cfRule>
  </conditionalFormatting>
  <conditionalFormatting sqref="J150:L151 K172:L172">
    <cfRule type="expression" dxfId="219" priority="28">
      <formula>$K$172 &gt; 0</formula>
    </cfRule>
    <cfRule type="expression" dxfId="218" priority="29">
      <formula>$K$172 = 0</formula>
    </cfRule>
    <cfRule type="expression" dxfId="217" priority="30">
      <formula>$K$172 &lt; 0</formula>
    </cfRule>
  </conditionalFormatting>
  <conditionalFormatting sqref="M150:O151 N172:O172">
    <cfRule type="expression" dxfId="216" priority="25">
      <formula>$N$172 &gt; 0</formula>
    </cfRule>
    <cfRule type="expression" dxfId="215" priority="26">
      <formula>$N$172 = 0</formula>
    </cfRule>
    <cfRule type="expression" dxfId="214" priority="27">
      <formula>$N$172 &lt; 0</formula>
    </cfRule>
  </conditionalFormatting>
  <conditionalFormatting sqref="A179:C198 M179:O198">
    <cfRule type="expression" dxfId="213" priority="13">
      <formula>AND($N179 &gt; 0, ISNUMBER($N179))</formula>
    </cfRule>
    <cfRule type="expression" dxfId="212" priority="14">
      <formula>AND($N179 = 0 * ISNUMBER($N179))</formula>
    </cfRule>
    <cfRule type="expression" dxfId="211" priority="15">
      <formula>AND($N179 &lt; 0, ISNUMBER($N179))</formula>
    </cfRule>
  </conditionalFormatting>
  <conditionalFormatting sqref="A179:F198">
    <cfRule type="expression" dxfId="210" priority="22">
      <formula>AND($E179 &gt; 0, ISNUMBER($E179))</formula>
    </cfRule>
    <cfRule type="expression" dxfId="209" priority="23">
      <formula>AND($E179 = 0 * ISNUMBER($E179))</formula>
    </cfRule>
    <cfRule type="expression" dxfId="208" priority="24">
      <formula>AND($E179 &lt; 0, ISNUMBER($E179))</formula>
    </cfRule>
  </conditionalFormatting>
  <conditionalFormatting sqref="A179:C198 G179:I198">
    <cfRule type="expression" dxfId="207" priority="19">
      <formula>AND($H179 &gt; 0, ISNUMBER($H179))</formula>
    </cfRule>
    <cfRule type="expression" dxfId="206" priority="20">
      <formula>AND($H179 = 0 * ISNUMBER($H179))</formula>
    </cfRule>
    <cfRule type="expression" dxfId="205" priority="21">
      <formula>AND($H179 &lt; 0, ISNUMBER($H179))</formula>
    </cfRule>
  </conditionalFormatting>
  <conditionalFormatting sqref="A179:C198 J179:L198">
    <cfRule type="expression" dxfId="204" priority="16">
      <formula>AND($K179 &gt; 0, ISNUMBER($K179))</formula>
    </cfRule>
    <cfRule type="expression" dxfId="203" priority="17">
      <formula>AND($K179 = 0 * ISNUMBER($K179))</formula>
    </cfRule>
    <cfRule type="expression" dxfId="202" priority="18">
      <formula>AND($K179 &lt; 0, ISNUMBER($K179))</formula>
    </cfRule>
  </conditionalFormatting>
  <conditionalFormatting sqref="D177:F178 E199:F199">
    <cfRule type="expression" dxfId="201" priority="10">
      <formula>$E$199 &gt; 0</formula>
    </cfRule>
    <cfRule type="expression" dxfId="200" priority="11">
      <formula>$E$199 = 0</formula>
    </cfRule>
    <cfRule type="expression" dxfId="199" priority="12">
      <formula>$E$199 &lt; 0</formula>
    </cfRule>
  </conditionalFormatting>
  <conditionalFormatting sqref="G177:I178 H199:I199">
    <cfRule type="expression" dxfId="198" priority="7">
      <formula>$H$199 &gt; 0</formula>
    </cfRule>
    <cfRule type="expression" dxfId="197" priority="8">
      <formula>$H$199 = 0</formula>
    </cfRule>
    <cfRule type="expression" dxfId="196" priority="9">
      <formula>$H$199 &lt; 0</formula>
    </cfRule>
  </conditionalFormatting>
  <conditionalFormatting sqref="J177:L178 K199:L199">
    <cfRule type="expression" dxfId="195" priority="4">
      <formula>$K$199 &gt; 0</formula>
    </cfRule>
    <cfRule type="expression" dxfId="194" priority="5">
      <formula>$K$199 = 0</formula>
    </cfRule>
    <cfRule type="expression" dxfId="193" priority="6">
      <formula>$K$199 &lt; 0</formula>
    </cfRule>
  </conditionalFormatting>
  <conditionalFormatting sqref="M177:O178 N199:O199">
    <cfRule type="expression" dxfId="192" priority="1">
      <formula>$N$199 &gt; 0</formula>
    </cfRule>
    <cfRule type="expression" dxfId="191" priority="2">
      <formula>$N$199 = 0</formula>
    </cfRule>
    <cfRule type="expression" dxfId="1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0CCD80-758B-4460-8308-6FA729A38480}">
  <sheetPr codeName="Sheet22"/>
  <dimension ref="A1:S199"/>
  <sheetViews>
    <sheetView tabSelected="1" zoomScaleNormal="100" workbookViewId="0">
      <selection activeCell="B42" sqref="B42:C42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1.62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49" t="s">
        <v>0</v>
      </c>
      <c r="B1" s="250"/>
      <c r="C1" s="250"/>
      <c r="D1" s="250"/>
      <c r="E1" s="250"/>
      <c r="F1" s="251"/>
      <c r="G1" s="252">
        <v>44332</v>
      </c>
      <c r="H1" s="253"/>
      <c r="I1" s="254"/>
      <c r="J1" s="249" t="s">
        <v>1</v>
      </c>
      <c r="K1" s="250"/>
      <c r="L1" s="250"/>
      <c r="M1" s="250"/>
      <c r="N1" s="250"/>
      <c r="O1" s="251"/>
      <c r="Q1" s="249" t="s">
        <v>2</v>
      </c>
      <c r="R1" s="251"/>
    </row>
    <row r="2" spans="1:19" ht="17.25" customHeight="1">
      <c r="A2" s="116" t="s">
        <v>3</v>
      </c>
      <c r="B2" s="323" t="s">
        <v>8</v>
      </c>
      <c r="C2" s="324"/>
      <c r="D2" s="324"/>
      <c r="E2" s="324"/>
      <c r="F2" s="325"/>
      <c r="G2" s="258" t="s">
        <v>46</v>
      </c>
      <c r="H2" s="259"/>
      <c r="I2" s="260"/>
      <c r="J2" s="116" t="s">
        <v>3</v>
      </c>
      <c r="K2" s="323" t="s">
        <v>376</v>
      </c>
      <c r="L2" s="324"/>
      <c r="M2" s="324"/>
      <c r="N2" s="324"/>
      <c r="O2" s="325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20" t="s">
        <v>384</v>
      </c>
      <c r="C3" s="321"/>
      <c r="D3" s="321"/>
      <c r="E3" s="321"/>
      <c r="F3" s="322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65"/>
      <c r="I3" s="266"/>
      <c r="J3" s="117" t="s">
        <v>7</v>
      </c>
      <c r="K3" s="320" t="s">
        <v>377</v>
      </c>
      <c r="L3" s="321"/>
      <c r="M3" s="321"/>
      <c r="N3" s="321"/>
      <c r="O3" s="322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20" t="s">
        <v>16</v>
      </c>
      <c r="C4" s="321"/>
      <c r="D4" s="321"/>
      <c r="E4" s="321"/>
      <c r="F4" s="322"/>
      <c r="G4" s="258" t="s">
        <v>44</v>
      </c>
      <c r="H4" s="259"/>
      <c r="I4" s="260"/>
      <c r="J4" s="117" t="s">
        <v>11</v>
      </c>
      <c r="K4" s="320" t="s">
        <v>378</v>
      </c>
      <c r="L4" s="321"/>
      <c r="M4" s="321"/>
      <c r="N4" s="321"/>
      <c r="O4" s="322"/>
      <c r="Q4" s="245" t="s">
        <v>14</v>
      </c>
      <c r="R4" s="198">
        <v>0.95833333333333337</v>
      </c>
    </row>
    <row r="5" spans="1:19" ht="17.25" customHeight="1" thickBot="1">
      <c r="A5" s="117" t="s">
        <v>15</v>
      </c>
      <c r="B5" s="320" t="s">
        <v>374</v>
      </c>
      <c r="C5" s="321"/>
      <c r="D5" s="321"/>
      <c r="E5" s="321"/>
      <c r="F5" s="322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65"/>
      <c r="I5" s="266"/>
      <c r="J5" s="117" t="s">
        <v>15</v>
      </c>
      <c r="K5" s="320" t="s">
        <v>379</v>
      </c>
      <c r="L5" s="321"/>
      <c r="M5" s="321"/>
      <c r="N5" s="321"/>
      <c r="O5" s="322"/>
    </row>
    <row r="6" spans="1:19">
      <c r="A6" s="117" t="s">
        <v>18</v>
      </c>
      <c r="B6" s="320"/>
      <c r="C6" s="321"/>
      <c r="D6" s="321"/>
      <c r="E6" s="321"/>
      <c r="F6" s="322"/>
      <c r="G6" s="258" t="s">
        <v>45</v>
      </c>
      <c r="H6" s="259"/>
      <c r="I6" s="260"/>
      <c r="J6" s="117" t="s">
        <v>18</v>
      </c>
      <c r="K6" s="320" t="s">
        <v>380</v>
      </c>
      <c r="L6" s="321"/>
      <c r="M6" s="321"/>
      <c r="N6" s="321"/>
      <c r="O6" s="322"/>
    </row>
    <row r="7" spans="1:19" ht="17.25" thickBot="1">
      <c r="A7" s="117" t="s">
        <v>21</v>
      </c>
      <c r="B7" s="320"/>
      <c r="C7" s="321"/>
      <c r="D7" s="321"/>
      <c r="E7" s="321"/>
      <c r="F7" s="322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65"/>
      <c r="I7" s="266"/>
      <c r="J7" s="117" t="s">
        <v>21</v>
      </c>
      <c r="K7" s="320" t="s">
        <v>381</v>
      </c>
      <c r="L7" s="321"/>
      <c r="M7" s="321"/>
      <c r="N7" s="321"/>
      <c r="O7" s="322"/>
    </row>
    <row r="8" spans="1:19" ht="17.25" thickBot="1">
      <c r="A8" s="117" t="s">
        <v>24</v>
      </c>
      <c r="B8" s="320"/>
      <c r="C8" s="321"/>
      <c r="D8" s="321"/>
      <c r="E8" s="321"/>
      <c r="F8" s="322"/>
      <c r="G8" s="258" t="s">
        <v>285</v>
      </c>
      <c r="H8" s="259"/>
      <c r="I8" s="260"/>
      <c r="J8" s="117" t="s">
        <v>24</v>
      </c>
      <c r="K8" s="320"/>
      <c r="L8" s="321"/>
      <c r="M8" s="321"/>
      <c r="N8" s="321"/>
      <c r="O8" s="322"/>
      <c r="Q8" s="249" t="s">
        <v>27</v>
      </c>
      <c r="R8" s="251"/>
    </row>
    <row r="9" spans="1:19" ht="17.25" thickBot="1">
      <c r="A9" s="117" t="s">
        <v>28</v>
      </c>
      <c r="B9" s="320"/>
      <c r="C9" s="321"/>
      <c r="D9" s="321"/>
      <c r="E9" s="321"/>
      <c r="F9" s="322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65"/>
      <c r="I9" s="266"/>
      <c r="J9" s="117" t="s">
        <v>28</v>
      </c>
      <c r="K9" s="320"/>
      <c r="L9" s="321"/>
      <c r="M9" s="321"/>
      <c r="N9" s="321"/>
      <c r="O9" s="322"/>
      <c r="Q9" s="120" t="s">
        <v>29</v>
      </c>
      <c r="R9" s="199">
        <v>10</v>
      </c>
    </row>
    <row r="10" spans="1:19">
      <c r="A10" s="117" t="s">
        <v>30</v>
      </c>
      <c r="B10" s="320"/>
      <c r="C10" s="321"/>
      <c r="D10" s="321"/>
      <c r="E10" s="321"/>
      <c r="F10" s="322"/>
      <c r="G10" s="258" t="s">
        <v>47</v>
      </c>
      <c r="H10" s="259"/>
      <c r="I10" s="260"/>
      <c r="J10" s="117" t="s">
        <v>30</v>
      </c>
      <c r="K10" s="320" t="s">
        <v>382</v>
      </c>
      <c r="L10" s="321"/>
      <c r="M10" s="321"/>
      <c r="N10" s="321"/>
      <c r="O10" s="322"/>
      <c r="Q10" s="120" t="s">
        <v>31</v>
      </c>
      <c r="R10" s="199">
        <v>100</v>
      </c>
    </row>
    <row r="11" spans="1:19" ht="17.25" thickBot="1">
      <c r="A11" s="118" t="s">
        <v>32</v>
      </c>
      <c r="B11" s="317" t="s">
        <v>383</v>
      </c>
      <c r="C11" s="318"/>
      <c r="D11" s="318"/>
      <c r="E11" s="318"/>
      <c r="F11" s="319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118" t="s">
        <v>32</v>
      </c>
      <c r="K11" s="317" t="s">
        <v>373</v>
      </c>
      <c r="L11" s="318"/>
      <c r="M11" s="318"/>
      <c r="N11" s="318"/>
      <c r="O11" s="319"/>
      <c r="Q11" s="245" t="s">
        <v>33</v>
      </c>
      <c r="R11" s="200">
        <v>1000</v>
      </c>
    </row>
    <row r="12" spans="1:19" ht="17.25" thickBot="1"/>
    <row r="13" spans="1:19" ht="17.25" customHeight="1" thickBot="1">
      <c r="A13" s="249" t="s">
        <v>34</v>
      </c>
      <c r="B13" s="250"/>
      <c r="C13" s="250"/>
      <c r="D13" s="250"/>
      <c r="E13" s="250"/>
      <c r="F13" s="250"/>
      <c r="G13" s="250"/>
      <c r="H13" s="250"/>
      <c r="I13" s="250"/>
      <c r="J13" s="250"/>
      <c r="K13" s="250"/>
      <c r="L13" s="250"/>
      <c r="M13" s="250"/>
      <c r="N13" s="250"/>
      <c r="O13" s="251"/>
      <c r="Q13" s="270"/>
      <c r="R13" s="270"/>
      <c r="S13" s="270"/>
    </row>
    <row r="14" spans="1:19" ht="17.25" customHeight="1" thickBot="1">
      <c r="A14" s="241" t="s">
        <v>35</v>
      </c>
      <c r="B14" s="249" t="s">
        <v>36</v>
      </c>
      <c r="C14" s="251"/>
      <c r="D14" s="249" t="s">
        <v>37</v>
      </c>
      <c r="E14" s="250"/>
      <c r="F14" s="251"/>
      <c r="G14" s="276">
        <f>_xlfn.IFNA(VLOOKUP(B14, 현재가테이블!$B$2:$D$200, 2, FALSE), "-")</f>
        <v>60874000</v>
      </c>
      <c r="H14" s="277"/>
      <c r="I14" s="278"/>
      <c r="J14" s="249" t="s">
        <v>38</v>
      </c>
      <c r="K14" s="250"/>
      <c r="L14" s="251"/>
      <c r="M14" s="279">
        <f>_xlfn.IFNA(VLOOKUP(B14, 현재가테이블!$B$2:$D$200, 3, FALSE), "-")</f>
        <v>-1.4936000099999999E-2</v>
      </c>
      <c r="N14" s="280"/>
      <c r="O14" s="281"/>
      <c r="Q14" s="270"/>
      <c r="R14" s="270"/>
      <c r="S14" s="270"/>
    </row>
    <row r="15" spans="1:19" ht="17.25" customHeight="1" thickBot="1">
      <c r="A15" s="314" t="s">
        <v>39</v>
      </c>
      <c r="B15" s="315" t="str">
        <f>TEXT($G$1, "[$-ko-KR]yyyy-mm-dd(ddd) ") &amp; "오전 00:00"</f>
        <v>2021-05-16(일) 오전 00:00</v>
      </c>
      <c r="C15" s="316"/>
      <c r="D15" s="249" t="str">
        <f>TEXT($G$1, "[$-ko-KR]yyyy-mm-dd(ddd) ") &amp; "오후 14:00"</f>
        <v>2021-05-16(일) 오후 14:00</v>
      </c>
      <c r="E15" s="250"/>
      <c r="F15" s="251"/>
      <c r="G15" s="249" t="str">
        <f>TEXT($G$1, "[$-ko-KR]yyyy-mm-dd(ddd) ") &amp; "오후 19:00"</f>
        <v>2021-05-16(일) 오후 19:00</v>
      </c>
      <c r="H15" s="250"/>
      <c r="I15" s="251"/>
      <c r="J15" s="249" t="str">
        <f>TEXT($G$1, "[$-ko-KR]yyyy-mm-dd(ddd) ") &amp; "오후 21:00"</f>
        <v>2021-05-16(일) 오후 21:00</v>
      </c>
      <c r="K15" s="250"/>
      <c r="L15" s="251"/>
      <c r="M15" s="249" t="str">
        <f>TEXT($G$1+1, "[$-ko-KR]yyyy-mm-dd(ddd) ") &amp; "오전 00:00"</f>
        <v>2021-05-17(월) 오전 00:00</v>
      </c>
      <c r="N15" s="250"/>
      <c r="O15" s="251"/>
      <c r="Q15" s="270"/>
      <c r="R15" s="270"/>
      <c r="S15" s="270"/>
    </row>
    <row r="16" spans="1:19" ht="17.25" customHeight="1" thickBot="1">
      <c r="A16" s="314"/>
      <c r="B16" s="120" t="s">
        <v>37</v>
      </c>
      <c r="C16" s="121" t="s">
        <v>38</v>
      </c>
      <c r="D16" s="120" t="s">
        <v>37</v>
      </c>
      <c r="E16" s="121" t="s">
        <v>40</v>
      </c>
      <c r="F16" s="248" t="s">
        <v>41</v>
      </c>
      <c r="G16" s="241" t="s">
        <v>37</v>
      </c>
      <c r="H16" s="242" t="s">
        <v>40</v>
      </c>
      <c r="I16" s="243" t="s">
        <v>41</v>
      </c>
      <c r="J16" s="121" t="s">
        <v>37</v>
      </c>
      <c r="K16" s="121" t="s">
        <v>40</v>
      </c>
      <c r="L16" s="246" t="s">
        <v>41</v>
      </c>
      <c r="M16" s="120" t="s">
        <v>37</v>
      </c>
      <c r="N16" s="121" t="s">
        <v>40</v>
      </c>
      <c r="O16" s="247" t="s">
        <v>41</v>
      </c>
      <c r="Q16" s="275"/>
      <c r="R16" s="275"/>
      <c r="S16" s="275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142</v>
      </c>
      <c r="C17" s="72">
        <f>IF(NOT(ISBLANK(_xlfn.IFNA(VLOOKUP($A17, $A$40:$O$199, 3, FALSE), ))), _xlfn.IFNA(VLOOKUP($A17, $A$40:$O$199, 3, FALSE), ), "")</f>
        <v>-2.7400000000000001E-2</v>
      </c>
      <c r="D17" s="123" t="str">
        <f>IF(NOT(ISBLANK(_xlfn.IFNA(VLOOKUP($A17, $A$40:$O$199, 4, FALSE), ))), _xlfn.IFNA(VLOOKUP($A17, $A$40:$O$199, 4, FALSE), ), "")</f>
        <v/>
      </c>
      <c r="E17" s="72" t="str">
        <f>IF(NOT(ISBLANK(_xlfn.IFNA(VLOOKUP($A17, $A$40:$O$199, 5, FALSE), ))), _xlfn.IFNA(VLOOKUP($A17, $A$40:$O$199, 5, FALSE), ), "")</f>
        <v/>
      </c>
      <c r="F17" s="140" t="str">
        <f>IF(NOT(ISBLANK(_xlfn.IFNA(VLOOKUP($A17, $A$40:$O$199, 6, FALSE), ))), _xlfn.IFNA(VLOOKUP($A17, $A$40:$O$199, 6, FALSE), ), "")</f>
        <v/>
      </c>
      <c r="G17" s="38" t="str">
        <f>IF(NOT(ISBLANK(_xlfn.IFNA(VLOOKUP($A17, $A$40:$O$199, 7, FALSE), ))), _xlfn.IFNA(VLOOKUP($A17, $A$40:$O$199, 7, FALSE), ), "")</f>
        <v/>
      </c>
      <c r="H17" s="72" t="str">
        <f>IF(NOT(ISBLANK(_xlfn.IFNA(VLOOKUP($A17, $A$40:$O$199, 8, FALSE), ))), _xlfn.IFNA(VLOOKUP($A17, $A$40:$O$199, 8, FALSE), ), "")</f>
        <v/>
      </c>
      <c r="I17" s="201" t="str">
        <f>IF(NOT(ISBLANK(_xlfn.IFNA(VLOOKUP($A17, $A$40:$O$199, 9, FALSE), ))), _xlfn.IFNA(VLOOKUP($A17, $A$40:$O$199, 9, FALSE), ), "")</f>
        <v/>
      </c>
      <c r="J17" s="123" t="str">
        <f>IF(NOT(ISBLANK(_xlfn.IFNA(VLOOKUP($A17, $A$40:$O$199, 10, FALSE), ))), _xlfn.IFNA(VLOOKUP($A17, $A$40:$O$199, 10, FALSE), ), "")</f>
        <v/>
      </c>
      <c r="K17" s="72" t="str">
        <f>IF(NOT(ISBLANK(_xlfn.IFNA(VLOOKUP($A17, $A$40:$O$199, 11, FALSE), ))), _xlfn.IFNA(VLOOKUP($A17, $A$40:$O$199, 11, FALSE), ), "")</f>
        <v/>
      </c>
      <c r="L17" s="140" t="str">
        <f>IF(NOT(ISBLANK(_xlfn.IFNA(VLOOKUP($A17, $A$40:$O$199, 12, FALSE), ))), _xlfn.IFNA(VLOOKUP($A17, $A$40:$O$199, 12, FALSE), ), "")</f>
        <v/>
      </c>
      <c r="M17" s="38" t="str">
        <f>IF(NOT(ISBLANK(_xlfn.IFNA(VLOOKUP($A17, $A$40:$O$199, 13, FALSE), ))), _xlfn.IFNA(VLOOKUP($A17, $A$40:$O$199, 13, FALSE), ), "")</f>
        <v/>
      </c>
      <c r="N17" s="72" t="str">
        <f>IF(NOT(ISBLANK(_xlfn.IFNA(VLOOKUP($A17, $A$40:$O$199, 14, FALSE), ))), _xlfn.IFNA(VLOOKUP($A17, $A$40:$O$199, 14, FALSE), ), "")</f>
        <v/>
      </c>
      <c r="O17" s="140" t="str">
        <f>IF(NOT(ISBLANK(_xlfn.IFNA(VLOOKUP($A17, $A$40:$O$199, 15, FALSE), ))), _xlfn.IFNA(VLOOKUP($A17, $A$40:$O$199, 15, FALSE), ), "")</f>
        <v/>
      </c>
      <c r="Q17" s="270"/>
      <c r="R17" s="270"/>
      <c r="S17" s="270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199</v>
      </c>
      <c r="C18" s="73">
        <f t="shared" ref="C18:C36" si="1">IF(NOT(ISBLANK(_xlfn.IFNA(VLOOKUP($A18, $A$40:$O$199, 3, FALSE), ))), _xlfn.IFNA(VLOOKUP($A18, $A$40:$O$199, 3, FALSE), ), "")</f>
        <v>-1.97044335E-2</v>
      </c>
      <c r="D18" s="125" t="str">
        <f t="shared" ref="D18:D36" si="2">IF(NOT(ISBLANK(_xlfn.IFNA(VLOOKUP($A18, $A$40:$O$199, 4, FALSE), ))), _xlfn.IFNA(VLOOKUP($A18, $A$40:$O$199, 4, FALSE), ), "")</f>
        <v/>
      </c>
      <c r="E18" s="73" t="str">
        <f t="shared" ref="E18:E36" si="3">IF(NOT(ISBLANK(_xlfn.IFNA(VLOOKUP($A18, $A$40:$O$199, 5, FALSE), ))), _xlfn.IFNA(VLOOKUP($A18, $A$40:$O$199, 5, FALSE), ), "")</f>
        <v/>
      </c>
      <c r="F18" s="136" t="str">
        <f t="shared" ref="F18:F36" si="4">IF(NOT(ISBLANK(_xlfn.IFNA(VLOOKUP($A18, $A$40:$O$199, 6, FALSE), ))), _xlfn.IFNA(VLOOKUP($A18, $A$40:$O$199, 6, FALSE), ), "")</f>
        <v/>
      </c>
      <c r="G18" s="39" t="str">
        <f t="shared" ref="G18:G36" si="5">IF(NOT(ISBLANK(_xlfn.IFNA(VLOOKUP($A18, $A$40:$O$199, 7, FALSE), ))), _xlfn.IFNA(VLOOKUP($A18, $A$40:$O$199, 7, FALSE), ), "")</f>
        <v/>
      </c>
      <c r="H18" s="73" t="str">
        <f t="shared" ref="H18:H36" si="6">IF(NOT(ISBLANK(_xlfn.IFNA(VLOOKUP($A18, $A$40:$O$199, 8, FALSE), ))), _xlfn.IFNA(VLOOKUP($A18, $A$40:$O$199, 8, FALSE), ), "")</f>
        <v/>
      </c>
      <c r="I18" s="202" t="str">
        <f t="shared" ref="I18:I36" si="7">IF(NOT(ISBLANK(_xlfn.IFNA(VLOOKUP($A18, $A$40:$O$199, 9, FALSE), ))), _xlfn.IFNA(VLOOKUP($A18, $A$40:$O$199, 9, FALSE), ), "")</f>
        <v/>
      </c>
      <c r="J18" s="125" t="str">
        <f t="shared" ref="J18:J36" si="8">IF(NOT(ISBLANK(_xlfn.IFNA(VLOOKUP($A18, $A$40:$O$199, 10, FALSE), ))), _xlfn.IFNA(VLOOKUP($A18, $A$40:$O$199, 10, FALSE), ), "")</f>
        <v/>
      </c>
      <c r="K18" s="73" t="str">
        <f t="shared" ref="K18:K36" si="9">IF(NOT(ISBLANK(_xlfn.IFNA(VLOOKUP($A18, $A$40:$O$199, 11, FALSE), ))), _xlfn.IFNA(VLOOKUP($A18, $A$40:$O$199, 11, FALSE), ), "")</f>
        <v/>
      </c>
      <c r="L18" s="136" t="str">
        <f t="shared" ref="L18:L36" si="10">IF(NOT(ISBLANK(_xlfn.IFNA(VLOOKUP($A18, $A$40:$O$199, 12, FALSE), ))), _xlfn.IFNA(VLOOKUP($A18, $A$40:$O$199, 12, FALSE), ), "")</f>
        <v/>
      </c>
      <c r="M18" s="39" t="str">
        <f t="shared" ref="M18:M36" si="11">IF(NOT(ISBLANK(_xlfn.IFNA(VLOOKUP($A18, $A$40:$O$199, 13, FALSE), ))), _xlfn.IFNA(VLOOKUP($A18, $A$40:$O$199, 13, FALSE), ), "")</f>
        <v/>
      </c>
      <c r="N18" s="73" t="str">
        <f t="shared" ref="N18:N36" si="12">IF(NOT(ISBLANK(_xlfn.IFNA(VLOOKUP($A18, $A$40:$O$199, 14, FALSE), ))), _xlfn.IFNA(VLOOKUP($A18, $A$40:$O$199, 14, FALSE), ), "")</f>
        <v/>
      </c>
      <c r="O18" s="136" t="str">
        <f t="shared" ref="O18:O36" si="13">IF(NOT(ISBLANK(_xlfn.IFNA(VLOOKUP($A18, $A$40:$O$199, 15, FALSE), ))), _xlfn.IFNA(VLOOKUP($A18, $A$40:$O$199, 15, FALSE), ), "")</f>
        <v/>
      </c>
      <c r="Q18" s="270"/>
      <c r="R18" s="270"/>
      <c r="S18" s="270"/>
    </row>
    <row r="19" spans="1:19" ht="17.25" customHeight="1" thickBot="1">
      <c r="A19" s="124" t="s">
        <v>264</v>
      </c>
      <c r="B19" s="125">
        <f t="shared" si="0"/>
        <v>147</v>
      </c>
      <c r="C19" s="73">
        <f t="shared" si="1"/>
        <v>-4.5454545499999999E-2</v>
      </c>
      <c r="D19" s="125" t="str">
        <f t="shared" si="2"/>
        <v/>
      </c>
      <c r="E19" s="73" t="str">
        <f t="shared" si="3"/>
        <v/>
      </c>
      <c r="F19" s="136" t="str">
        <f t="shared" si="4"/>
        <v/>
      </c>
      <c r="G19" s="39" t="str">
        <f t="shared" si="5"/>
        <v/>
      </c>
      <c r="H19" s="73" t="str">
        <f t="shared" si="6"/>
        <v/>
      </c>
      <c r="I19" s="202" t="str">
        <f t="shared" si="7"/>
        <v/>
      </c>
      <c r="J19" s="125" t="str">
        <f t="shared" si="8"/>
        <v/>
      </c>
      <c r="K19" s="73" t="str">
        <f t="shared" si="9"/>
        <v/>
      </c>
      <c r="L19" s="136" t="str">
        <f t="shared" si="10"/>
        <v/>
      </c>
      <c r="M19" s="39" t="str">
        <f t="shared" si="11"/>
        <v/>
      </c>
      <c r="N19" s="73" t="str">
        <f t="shared" si="12"/>
        <v/>
      </c>
      <c r="O19" s="136" t="str">
        <f t="shared" si="13"/>
        <v/>
      </c>
      <c r="Q19" s="275"/>
      <c r="R19" s="275"/>
      <c r="S19" s="275"/>
    </row>
    <row r="20" spans="1:19" ht="17.25" customHeight="1" thickBot="1">
      <c r="A20" s="124" t="s">
        <v>282</v>
      </c>
      <c r="B20" s="125">
        <f t="shared" si="0"/>
        <v>151</v>
      </c>
      <c r="C20" s="73">
        <f t="shared" si="1"/>
        <v>0</v>
      </c>
      <c r="D20" s="125" t="str">
        <f t="shared" si="2"/>
        <v/>
      </c>
      <c r="E20" s="73" t="str">
        <f t="shared" si="3"/>
        <v/>
      </c>
      <c r="F20" s="136" t="str">
        <f t="shared" si="4"/>
        <v/>
      </c>
      <c r="G20" s="39" t="str">
        <f t="shared" si="5"/>
        <v/>
      </c>
      <c r="H20" s="73" t="str">
        <f t="shared" si="6"/>
        <v/>
      </c>
      <c r="I20" s="202" t="str">
        <f t="shared" si="7"/>
        <v/>
      </c>
      <c r="J20" s="125" t="str">
        <f t="shared" si="8"/>
        <v/>
      </c>
      <c r="K20" s="73" t="str">
        <f t="shared" si="9"/>
        <v/>
      </c>
      <c r="L20" s="136" t="str">
        <f t="shared" si="10"/>
        <v/>
      </c>
      <c r="M20" s="39" t="str">
        <f t="shared" si="11"/>
        <v/>
      </c>
      <c r="N20" s="73" t="str">
        <f t="shared" si="12"/>
        <v/>
      </c>
      <c r="O20" s="136" t="str">
        <f t="shared" si="13"/>
        <v/>
      </c>
      <c r="Q20" s="275"/>
      <c r="R20" s="275"/>
      <c r="S20" s="275"/>
    </row>
    <row r="21" spans="1:19" ht="17.25" customHeight="1" thickBot="1">
      <c r="A21" s="126" t="s">
        <v>240</v>
      </c>
      <c r="B21" s="127">
        <f t="shared" si="0"/>
        <v>157</v>
      </c>
      <c r="C21" s="74">
        <f t="shared" si="1"/>
        <v>-7.1005917200000004E-2</v>
      </c>
      <c r="D21" s="127" t="str">
        <f t="shared" si="2"/>
        <v/>
      </c>
      <c r="E21" s="74" t="str">
        <f t="shared" si="3"/>
        <v/>
      </c>
      <c r="F21" s="203" t="str">
        <f t="shared" si="4"/>
        <v/>
      </c>
      <c r="G21" s="44" t="str">
        <f t="shared" si="5"/>
        <v/>
      </c>
      <c r="H21" s="74" t="str">
        <f t="shared" si="6"/>
        <v/>
      </c>
      <c r="I21" s="204" t="str">
        <f t="shared" si="7"/>
        <v/>
      </c>
      <c r="J21" s="127" t="str">
        <f t="shared" si="8"/>
        <v/>
      </c>
      <c r="K21" s="74" t="str">
        <f t="shared" si="9"/>
        <v/>
      </c>
      <c r="L21" s="203" t="str">
        <f t="shared" si="10"/>
        <v/>
      </c>
      <c r="M21" s="44" t="str">
        <f t="shared" si="11"/>
        <v/>
      </c>
      <c r="N21" s="74" t="str">
        <f t="shared" si="12"/>
        <v/>
      </c>
      <c r="O21" s="203" t="str">
        <f t="shared" si="13"/>
        <v/>
      </c>
      <c r="Q21" s="275"/>
      <c r="R21" s="275"/>
      <c r="S21" s="275"/>
    </row>
    <row r="22" spans="1:19" ht="17.25" customHeight="1" thickBot="1">
      <c r="A22" s="124" t="s">
        <v>200</v>
      </c>
      <c r="B22" s="128">
        <f t="shared" si="0"/>
        <v>305</v>
      </c>
      <c r="C22" s="76">
        <f t="shared" si="1"/>
        <v>-2.5559105400000001E-2</v>
      </c>
      <c r="D22" s="128" t="str">
        <f t="shared" si="2"/>
        <v/>
      </c>
      <c r="E22" s="76" t="str">
        <f t="shared" si="3"/>
        <v/>
      </c>
      <c r="F22" s="205" t="str">
        <f t="shared" si="4"/>
        <v/>
      </c>
      <c r="G22" s="45" t="str">
        <f t="shared" si="5"/>
        <v/>
      </c>
      <c r="H22" s="76" t="str">
        <f t="shared" si="6"/>
        <v/>
      </c>
      <c r="I22" s="206" t="str">
        <f t="shared" si="7"/>
        <v/>
      </c>
      <c r="J22" s="128" t="str">
        <f t="shared" si="8"/>
        <v/>
      </c>
      <c r="K22" s="76" t="str">
        <f t="shared" si="9"/>
        <v/>
      </c>
      <c r="L22" s="205" t="str">
        <f t="shared" si="10"/>
        <v/>
      </c>
      <c r="M22" s="45" t="str">
        <f t="shared" si="11"/>
        <v/>
      </c>
      <c r="N22" s="76" t="str">
        <f t="shared" si="12"/>
        <v/>
      </c>
      <c r="O22" s="205" t="str">
        <f t="shared" si="13"/>
        <v/>
      </c>
      <c r="Q22" s="275"/>
      <c r="R22" s="275"/>
      <c r="S22" s="275"/>
    </row>
    <row r="23" spans="1:19" ht="17.25" customHeight="1" thickBot="1">
      <c r="A23" s="124" t="s">
        <v>232</v>
      </c>
      <c r="B23" s="125">
        <f t="shared" si="0"/>
        <v>151</v>
      </c>
      <c r="C23" s="73">
        <f t="shared" si="1"/>
        <v>-1.30718954E-2</v>
      </c>
      <c r="D23" s="125" t="str">
        <f t="shared" si="2"/>
        <v/>
      </c>
      <c r="E23" s="73" t="str">
        <f t="shared" si="3"/>
        <v/>
      </c>
      <c r="F23" s="136" t="str">
        <f t="shared" si="4"/>
        <v/>
      </c>
      <c r="G23" s="39" t="str">
        <f t="shared" si="5"/>
        <v/>
      </c>
      <c r="H23" s="73" t="str">
        <f t="shared" si="6"/>
        <v/>
      </c>
      <c r="I23" s="202" t="str">
        <f t="shared" si="7"/>
        <v/>
      </c>
      <c r="J23" s="125" t="str">
        <f t="shared" si="8"/>
        <v/>
      </c>
      <c r="K23" s="73" t="str">
        <f t="shared" si="9"/>
        <v/>
      </c>
      <c r="L23" s="136" t="str">
        <f t="shared" si="10"/>
        <v/>
      </c>
      <c r="M23" s="39" t="str">
        <f t="shared" si="11"/>
        <v/>
      </c>
      <c r="N23" s="73" t="str">
        <f t="shared" si="12"/>
        <v/>
      </c>
      <c r="O23" s="136" t="str">
        <f t="shared" si="13"/>
        <v/>
      </c>
      <c r="Q23" s="275"/>
      <c r="R23" s="275"/>
      <c r="S23" s="275"/>
    </row>
    <row r="24" spans="1:19" ht="17.25" customHeight="1" thickBot="1">
      <c r="A24" s="124" t="s">
        <v>174</v>
      </c>
      <c r="B24" s="125">
        <f t="shared" si="0"/>
        <v>243</v>
      </c>
      <c r="C24" s="73">
        <f t="shared" si="1"/>
        <v>-5.4474708199999999E-2</v>
      </c>
      <c r="D24" s="125" t="str">
        <f t="shared" si="2"/>
        <v/>
      </c>
      <c r="E24" s="73" t="str">
        <f t="shared" si="3"/>
        <v/>
      </c>
      <c r="F24" s="136" t="str">
        <f t="shared" si="4"/>
        <v/>
      </c>
      <c r="G24" s="39" t="str">
        <f t="shared" si="5"/>
        <v/>
      </c>
      <c r="H24" s="73" t="str">
        <f t="shared" si="6"/>
        <v/>
      </c>
      <c r="I24" s="202" t="str">
        <f t="shared" si="7"/>
        <v/>
      </c>
      <c r="J24" s="125" t="str">
        <f t="shared" si="8"/>
        <v/>
      </c>
      <c r="K24" s="73" t="str">
        <f t="shared" si="9"/>
        <v/>
      </c>
      <c r="L24" s="136" t="str">
        <f t="shared" si="10"/>
        <v/>
      </c>
      <c r="M24" s="39" t="str">
        <f t="shared" si="11"/>
        <v/>
      </c>
      <c r="N24" s="73" t="str">
        <f t="shared" si="12"/>
        <v/>
      </c>
      <c r="O24" s="136" t="str">
        <f t="shared" si="13"/>
        <v/>
      </c>
      <c r="Q24" s="275"/>
      <c r="R24" s="275"/>
      <c r="S24" s="275"/>
    </row>
    <row r="25" spans="1:19" ht="17.25" customHeight="1" thickBot="1">
      <c r="A25" s="124" t="s">
        <v>112</v>
      </c>
      <c r="B25" s="125">
        <f t="shared" si="0"/>
        <v>226</v>
      </c>
      <c r="C25" s="73">
        <f t="shared" si="1"/>
        <v>-3.4188034200000002E-2</v>
      </c>
      <c r="D25" s="125" t="str">
        <f t="shared" si="2"/>
        <v/>
      </c>
      <c r="E25" s="73" t="str">
        <f t="shared" si="3"/>
        <v/>
      </c>
      <c r="F25" s="136" t="str">
        <f t="shared" si="4"/>
        <v/>
      </c>
      <c r="G25" s="39" t="str">
        <f t="shared" si="5"/>
        <v/>
      </c>
      <c r="H25" s="73" t="str">
        <f t="shared" si="6"/>
        <v/>
      </c>
      <c r="I25" s="202" t="str">
        <f t="shared" si="7"/>
        <v/>
      </c>
      <c r="J25" s="125" t="str">
        <f t="shared" si="8"/>
        <v/>
      </c>
      <c r="K25" s="73" t="str">
        <f t="shared" si="9"/>
        <v/>
      </c>
      <c r="L25" s="136" t="str">
        <f t="shared" si="10"/>
        <v/>
      </c>
      <c r="M25" s="39" t="str">
        <f t="shared" si="11"/>
        <v/>
      </c>
      <c r="N25" s="73" t="str">
        <f t="shared" si="12"/>
        <v/>
      </c>
      <c r="O25" s="136" t="str">
        <f t="shared" si="13"/>
        <v/>
      </c>
      <c r="Q25" s="33"/>
      <c r="R25" s="33"/>
    </row>
    <row r="26" spans="1:19" ht="17.25" customHeight="1" thickBot="1">
      <c r="A26" s="129" t="s">
        <v>122</v>
      </c>
      <c r="B26" s="130">
        <f t="shared" si="0"/>
        <v>102</v>
      </c>
      <c r="C26" s="75">
        <f t="shared" si="1"/>
        <v>-3.7735849100000003E-2</v>
      </c>
      <c r="D26" s="130" t="str">
        <f t="shared" si="2"/>
        <v/>
      </c>
      <c r="E26" s="75" t="str">
        <f t="shared" si="3"/>
        <v/>
      </c>
      <c r="F26" s="137" t="str">
        <f t="shared" si="4"/>
        <v/>
      </c>
      <c r="G26" s="37" t="str">
        <f t="shared" si="5"/>
        <v/>
      </c>
      <c r="H26" s="75" t="str">
        <f t="shared" si="6"/>
        <v/>
      </c>
      <c r="I26" s="207" t="str">
        <f t="shared" si="7"/>
        <v/>
      </c>
      <c r="J26" s="130" t="str">
        <f t="shared" si="8"/>
        <v/>
      </c>
      <c r="K26" s="75" t="str">
        <f t="shared" si="9"/>
        <v/>
      </c>
      <c r="L26" s="137" t="str">
        <f t="shared" si="10"/>
        <v/>
      </c>
      <c r="M26" s="37" t="str">
        <f t="shared" si="11"/>
        <v/>
      </c>
      <c r="N26" s="75" t="str">
        <f t="shared" si="12"/>
        <v/>
      </c>
      <c r="O26" s="137" t="str">
        <f t="shared" si="13"/>
        <v/>
      </c>
      <c r="Q26" s="284"/>
      <c r="R26" s="285"/>
      <c r="S26" s="286"/>
    </row>
    <row r="27" spans="1:19" ht="17.25" customHeight="1">
      <c r="A27" s="122" t="s">
        <v>202</v>
      </c>
      <c r="B27" s="123">
        <f t="shared" si="0"/>
        <v>163</v>
      </c>
      <c r="C27" s="72">
        <f t="shared" si="1"/>
        <v>-4.1176470600000001E-2</v>
      </c>
      <c r="D27" s="123" t="str">
        <f t="shared" si="2"/>
        <v/>
      </c>
      <c r="E27" s="72" t="str">
        <f t="shared" si="3"/>
        <v/>
      </c>
      <c r="F27" s="140" t="str">
        <f t="shared" si="4"/>
        <v/>
      </c>
      <c r="G27" s="38" t="str">
        <f t="shared" si="5"/>
        <v/>
      </c>
      <c r="H27" s="72" t="str">
        <f t="shared" si="6"/>
        <v/>
      </c>
      <c r="I27" s="201" t="str">
        <f t="shared" si="7"/>
        <v/>
      </c>
      <c r="J27" s="123" t="str">
        <f t="shared" si="8"/>
        <v/>
      </c>
      <c r="K27" s="72" t="str">
        <f t="shared" si="9"/>
        <v/>
      </c>
      <c r="L27" s="140" t="str">
        <f t="shared" si="10"/>
        <v/>
      </c>
      <c r="M27" s="38" t="str">
        <f t="shared" si="11"/>
        <v/>
      </c>
      <c r="N27" s="72" t="str">
        <f t="shared" si="12"/>
        <v/>
      </c>
      <c r="O27" s="140" t="str">
        <f t="shared" si="13"/>
        <v/>
      </c>
      <c r="Q27" s="287"/>
      <c r="R27" s="288"/>
      <c r="S27" s="289"/>
    </row>
    <row r="28" spans="1:19" ht="17.25" customHeight="1" thickBot="1">
      <c r="A28" s="124" t="s">
        <v>238</v>
      </c>
      <c r="B28" s="125">
        <f t="shared" si="0"/>
        <v>243</v>
      </c>
      <c r="C28" s="73">
        <f t="shared" si="1"/>
        <v>-1.2195121999999999E-2</v>
      </c>
      <c r="D28" s="125" t="str">
        <f t="shared" si="2"/>
        <v/>
      </c>
      <c r="E28" s="73" t="str">
        <f t="shared" si="3"/>
        <v/>
      </c>
      <c r="F28" s="136" t="str">
        <f t="shared" si="4"/>
        <v/>
      </c>
      <c r="G28" s="39" t="str">
        <f t="shared" si="5"/>
        <v/>
      </c>
      <c r="H28" s="73" t="str">
        <f t="shared" si="6"/>
        <v/>
      </c>
      <c r="I28" s="202" t="str">
        <f t="shared" si="7"/>
        <v/>
      </c>
      <c r="J28" s="125" t="str">
        <f t="shared" si="8"/>
        <v/>
      </c>
      <c r="K28" s="73" t="str">
        <f t="shared" si="9"/>
        <v/>
      </c>
      <c r="L28" s="136" t="str">
        <f t="shared" si="10"/>
        <v/>
      </c>
      <c r="M28" s="39" t="str">
        <f t="shared" si="11"/>
        <v/>
      </c>
      <c r="N28" s="73" t="str">
        <f t="shared" si="12"/>
        <v/>
      </c>
      <c r="O28" s="136" t="str">
        <f t="shared" si="13"/>
        <v/>
      </c>
      <c r="Q28" s="290"/>
      <c r="R28" s="291"/>
      <c r="S28" s="292"/>
    </row>
    <row r="29" spans="1:19" ht="17.25" customHeight="1" thickBot="1">
      <c r="A29" s="124" t="s">
        <v>210</v>
      </c>
      <c r="B29" s="125">
        <f t="shared" si="0"/>
        <v>171</v>
      </c>
      <c r="C29" s="73">
        <f t="shared" si="1"/>
        <v>1.7857142900000001E-2</v>
      </c>
      <c r="D29" s="125" t="str">
        <f t="shared" si="2"/>
        <v/>
      </c>
      <c r="E29" s="73" t="str">
        <f t="shared" si="3"/>
        <v/>
      </c>
      <c r="F29" s="136" t="str">
        <f t="shared" si="4"/>
        <v/>
      </c>
      <c r="G29" s="39" t="str">
        <f t="shared" si="5"/>
        <v/>
      </c>
      <c r="H29" s="73" t="str">
        <f t="shared" si="6"/>
        <v/>
      </c>
      <c r="I29" s="202" t="str">
        <f t="shared" si="7"/>
        <v/>
      </c>
      <c r="J29" s="125" t="str">
        <f t="shared" si="8"/>
        <v/>
      </c>
      <c r="K29" s="73" t="str">
        <f t="shared" si="9"/>
        <v/>
      </c>
      <c r="L29" s="136" t="str">
        <f t="shared" si="10"/>
        <v/>
      </c>
      <c r="M29" s="39" t="str">
        <f t="shared" si="11"/>
        <v/>
      </c>
      <c r="N29" s="73" t="str">
        <f t="shared" si="12"/>
        <v/>
      </c>
      <c r="O29" s="136" t="str">
        <f t="shared" si="13"/>
        <v/>
      </c>
      <c r="Q29" s="275"/>
      <c r="R29" s="275"/>
      <c r="S29" s="275"/>
    </row>
    <row r="30" spans="1:19" ht="17.25" customHeight="1" thickBot="1">
      <c r="A30" s="124" t="s">
        <v>212</v>
      </c>
      <c r="B30" s="125">
        <f t="shared" si="0"/>
        <v>123</v>
      </c>
      <c r="C30" s="73">
        <f t="shared" si="1"/>
        <v>-3.90625E-2</v>
      </c>
      <c r="D30" s="125" t="str">
        <f t="shared" si="2"/>
        <v/>
      </c>
      <c r="E30" s="73" t="str">
        <f t="shared" si="3"/>
        <v/>
      </c>
      <c r="F30" s="136" t="str">
        <f t="shared" si="4"/>
        <v/>
      </c>
      <c r="G30" s="39" t="str">
        <f t="shared" si="5"/>
        <v/>
      </c>
      <c r="H30" s="73" t="str">
        <f t="shared" si="6"/>
        <v/>
      </c>
      <c r="I30" s="202" t="str">
        <f t="shared" si="7"/>
        <v/>
      </c>
      <c r="J30" s="125" t="str">
        <f t="shared" si="8"/>
        <v/>
      </c>
      <c r="K30" s="73" t="str">
        <f t="shared" si="9"/>
        <v/>
      </c>
      <c r="L30" s="136" t="str">
        <f t="shared" si="10"/>
        <v/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270"/>
      <c r="R30" s="270"/>
      <c r="S30" s="270"/>
    </row>
    <row r="31" spans="1:19" ht="17.25" customHeight="1" thickBot="1">
      <c r="A31" s="126" t="s">
        <v>226</v>
      </c>
      <c r="B31" s="127">
        <f t="shared" si="0"/>
        <v>446</v>
      </c>
      <c r="C31" s="74">
        <f t="shared" si="1"/>
        <v>2.0594965699999999E-2</v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270"/>
      <c r="R31" s="270"/>
      <c r="S31" s="270"/>
    </row>
    <row r="32" spans="1:19" ht="17.25" customHeight="1" thickBot="1">
      <c r="A32" s="124" t="s">
        <v>236</v>
      </c>
      <c r="B32" s="128">
        <f t="shared" si="0"/>
        <v>70.7</v>
      </c>
      <c r="C32" s="76">
        <f t="shared" si="1"/>
        <v>-2.7510316399999998E-2</v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275"/>
      <c r="R32" s="275"/>
      <c r="S32" s="275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275"/>
      <c r="R33" s="275"/>
      <c r="S33" s="275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275"/>
      <c r="R34" s="275"/>
      <c r="S34" s="275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297"/>
      <c r="R35" s="298"/>
      <c r="S35" s="299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00"/>
      <c r="R36" s="301"/>
      <c r="S36" s="302"/>
    </row>
    <row r="37" spans="1:19" ht="17.25" customHeight="1" thickBot="1">
      <c r="A37" s="131" t="s">
        <v>42</v>
      </c>
      <c r="B37" s="308">
        <v>150000</v>
      </c>
      <c r="C37" s="309"/>
      <c r="D37" s="131" t="s">
        <v>43</v>
      </c>
      <c r="E37" s="244">
        <f>IF(COUNT(E17:E36), SUM(E17:E36) / COUNT(E17:E36), 0)</f>
        <v>0</v>
      </c>
      <c r="F37" s="208">
        <f>SUM(F17:F36)</f>
        <v>0</v>
      </c>
      <c r="G37" s="131" t="s">
        <v>43</v>
      </c>
      <c r="H37" s="244">
        <f>IF(COUNT(H17:H36), SUM(H17:H36) / COUNT(H17:H36), 0)</f>
        <v>0</v>
      </c>
      <c r="I37" s="208">
        <f>SUM(I17:I36)</f>
        <v>0</v>
      </c>
      <c r="J37" s="131" t="s">
        <v>43</v>
      </c>
      <c r="K37" s="244">
        <f>IF(COUNT(K17:K36), SUM(K17:K36) / COUNT(K17:K36), 0)</f>
        <v>0</v>
      </c>
      <c r="L37" s="208">
        <f>SUM(L17:L36)</f>
        <v>0</v>
      </c>
      <c r="M37" s="131" t="s">
        <v>43</v>
      </c>
      <c r="N37" s="244">
        <f>IF(COUNT(N17:N36), SUM(N17:N36) / COUNT(N17:N36), 0)</f>
        <v>0</v>
      </c>
      <c r="O37" s="208">
        <f>SUM(O17:O36)</f>
        <v>0</v>
      </c>
      <c r="Q37" s="303"/>
      <c r="R37" s="304"/>
      <c r="S37" s="305"/>
    </row>
    <row r="38" spans="1:19" ht="17.25" customHeight="1"/>
    <row r="39" spans="1:19" ht="17.25" customHeight="1" thickBot="1"/>
    <row r="40" spans="1:19" ht="17.25" customHeight="1" thickBot="1">
      <c r="A40" s="249" t="s">
        <v>44</v>
      </c>
      <c r="B40" s="250"/>
      <c r="C40" s="250"/>
      <c r="D40" s="250"/>
      <c r="E40" s="250"/>
      <c r="F40" s="250"/>
      <c r="G40" s="250"/>
      <c r="H40" s="250"/>
      <c r="I40" s="250"/>
      <c r="J40" s="250"/>
      <c r="K40" s="250"/>
      <c r="L40" s="250"/>
      <c r="M40" s="250"/>
      <c r="N40" s="250"/>
      <c r="O40" s="251"/>
      <c r="Q40" s="270"/>
      <c r="R40" s="270"/>
      <c r="S40" s="270"/>
    </row>
    <row r="41" spans="1:19" ht="17.25" customHeight="1" thickBot="1">
      <c r="A41" s="241" t="s">
        <v>298</v>
      </c>
      <c r="B41" s="249" t="s">
        <v>36</v>
      </c>
      <c r="C41" s="251"/>
      <c r="D41" s="249" t="s">
        <v>58</v>
      </c>
      <c r="E41" s="250"/>
      <c r="F41" s="251"/>
      <c r="G41" s="276">
        <f>_xlfn.IFNA(VLOOKUP(B41, 현재가테이블!$B$2:$D$200, 2, FALSE), "-")</f>
        <v>60874000</v>
      </c>
      <c r="H41" s="277"/>
      <c r="I41" s="278"/>
      <c r="J41" s="249" t="s">
        <v>59</v>
      </c>
      <c r="K41" s="250"/>
      <c r="L41" s="251"/>
      <c r="M41" s="279">
        <f>_xlfn.IFNA(VLOOKUP(B41, 현재가테이블!$B$2:$D$200, 3, FALSE), "-")</f>
        <v>-1.4936000099999999E-2</v>
      </c>
      <c r="N41" s="280"/>
      <c r="O41" s="281"/>
      <c r="Q41" s="270"/>
      <c r="R41" s="270"/>
      <c r="S41" s="270"/>
    </row>
    <row r="42" spans="1:19" ht="17.25" customHeight="1" thickBot="1">
      <c r="A42" s="310" t="s">
        <v>55</v>
      </c>
      <c r="B42" s="312" t="str">
        <f>TEXT($G$1, "[$-ko-KR]yyyy-mm-dd(ddd) ") &amp; "오전 00:00"</f>
        <v>2021-05-16(일) 오전 00:00</v>
      </c>
      <c r="C42" s="313"/>
      <c r="D42" s="249" t="str">
        <f>TEXT($G$1, "[$-ko-KR]yyyy-mm-dd(ddd) ") &amp; "오후 14:00"</f>
        <v>2021-05-16(일) 오후 14:00</v>
      </c>
      <c r="E42" s="250"/>
      <c r="F42" s="251"/>
      <c r="G42" s="249" t="str">
        <f>TEXT($G$1, "[$-ko-KR]yyyy-mm-dd(ddd) ") &amp; "오후 19:00"</f>
        <v>2021-05-16(일) 오후 19:00</v>
      </c>
      <c r="H42" s="250"/>
      <c r="I42" s="251"/>
      <c r="J42" s="249" t="str">
        <f>TEXT($G$1, "[$-ko-KR]yyyy-mm-dd(ddd) ") &amp; "오후 21:00"</f>
        <v>2021-05-16(일) 오후 21:00</v>
      </c>
      <c r="K42" s="250"/>
      <c r="L42" s="251"/>
      <c r="M42" s="249" t="str">
        <f>TEXT($G$1+1, "[$-ko-KR]yyyy-mm-dd(ddd) ") &amp; "오전 00:00"</f>
        <v>2021-05-17(월) 오전 00:00</v>
      </c>
      <c r="N42" s="250"/>
      <c r="O42" s="251"/>
      <c r="Q42" s="270"/>
      <c r="R42" s="270"/>
      <c r="S42" s="270"/>
    </row>
    <row r="43" spans="1:19" ht="17.25" customHeight="1" thickBot="1">
      <c r="A43" s="311"/>
      <c r="B43" s="120" t="s">
        <v>58</v>
      </c>
      <c r="C43" s="121" t="s">
        <v>59</v>
      </c>
      <c r="D43" s="120" t="s">
        <v>58</v>
      </c>
      <c r="E43" s="121" t="s">
        <v>299</v>
      </c>
      <c r="F43" s="248" t="s">
        <v>300</v>
      </c>
      <c r="G43" s="241" t="s">
        <v>58</v>
      </c>
      <c r="H43" s="242" t="s">
        <v>299</v>
      </c>
      <c r="I43" s="243" t="s">
        <v>300</v>
      </c>
      <c r="J43" s="121" t="s">
        <v>58</v>
      </c>
      <c r="K43" s="121" t="s">
        <v>299</v>
      </c>
      <c r="L43" s="246" t="s">
        <v>300</v>
      </c>
      <c r="M43" s="120" t="s">
        <v>58</v>
      </c>
      <c r="N43" s="121" t="s">
        <v>299</v>
      </c>
      <c r="O43" s="247" t="s">
        <v>300</v>
      </c>
      <c r="Q43" s="275"/>
      <c r="R43" s="275"/>
      <c r="S43" s="275"/>
    </row>
    <row r="44" spans="1:19" ht="17.25" customHeight="1" thickBot="1">
      <c r="A44" s="122" t="s">
        <v>220</v>
      </c>
      <c r="B44" s="123">
        <v>18.399999999999999</v>
      </c>
      <c r="C44" s="72">
        <v>2.2222222199999999E-2</v>
      </c>
      <c r="D44" s="123"/>
      <c r="E44" s="72" t="str">
        <f>IF(ISNUMBER(D44), (D44 - $B44) / $B44, "")</f>
        <v/>
      </c>
      <c r="F44" s="140" t="str">
        <f>IF(ISNUMBER(D44), $B64 * E44, "")</f>
        <v/>
      </c>
      <c r="G44" s="38"/>
      <c r="H44" s="72" t="str">
        <f>IF(ISNUMBER(G44), (G44 - $B44) / $B44, "")</f>
        <v/>
      </c>
      <c r="I44" s="201" t="str">
        <f>IF(ISNUMBER(G44), $B64 * H44, "")</f>
        <v/>
      </c>
      <c r="J44" s="123"/>
      <c r="K44" s="72" t="str">
        <f>IF(ISNUMBER(J44), (J44 - $B44) / $B44, "")</f>
        <v/>
      </c>
      <c r="L44" s="140" t="str">
        <f>IF(ISNUMBER(J44), $B64 * K44, "")</f>
        <v/>
      </c>
      <c r="M44" s="38"/>
      <c r="N44" s="72" t="str">
        <f>IF(ISNUMBER(M44), (M44 - $B44) / $B44, "")</f>
        <v/>
      </c>
      <c r="O44" s="140" t="str">
        <f>IF(ISNUMBER(M44), $B64 * N44, "")</f>
        <v/>
      </c>
      <c r="Q44" s="270"/>
      <c r="R44" s="270"/>
      <c r="S44" s="270"/>
    </row>
    <row r="45" spans="1:19" ht="17.25" customHeight="1" thickBot="1">
      <c r="A45" s="124" t="s">
        <v>126</v>
      </c>
      <c r="B45" s="125">
        <v>49.7</v>
      </c>
      <c r="C45" s="73">
        <v>2.0161290000000002E-3</v>
      </c>
      <c r="D45" s="125"/>
      <c r="E45" s="73" t="str">
        <f t="shared" ref="E45:E48" si="14">IF(ISNUMBER(D45), (D45 - $B45) / $B45, "")</f>
        <v/>
      </c>
      <c r="F45" s="136" t="str">
        <f>IF(ISNUMBER(D45), $B64 * E45, "")</f>
        <v/>
      </c>
      <c r="G45" s="39"/>
      <c r="H45" s="73" t="str">
        <f t="shared" ref="H45:H48" si="15">IF(ISNUMBER(G45), (G45 - $B45) / $B45, "")</f>
        <v/>
      </c>
      <c r="I45" s="202" t="str">
        <f>IF(ISNUMBER(G45), $B64 * H45, "")</f>
        <v/>
      </c>
      <c r="J45" s="125"/>
      <c r="K45" s="73" t="str">
        <f t="shared" ref="K45:K48" si="16">IF(ISNUMBER(J45), (J45 - $B45) / $B45, "")</f>
        <v/>
      </c>
      <c r="L45" s="136" t="str">
        <f>IF(ISNUMBER(J45), $B64 * K45, "")</f>
        <v/>
      </c>
      <c r="M45" s="39"/>
      <c r="N45" s="73" t="str">
        <f t="shared" ref="N45:N48" si="17">IF(ISNUMBER(M45), (M45 - $B45) / $B45, "")</f>
        <v/>
      </c>
      <c r="O45" s="136" t="str">
        <f>IF(ISNUMBER(M45), $B64 * N45, "")</f>
        <v/>
      </c>
      <c r="Q45" s="270"/>
      <c r="R45" s="270"/>
      <c r="S45" s="270"/>
    </row>
    <row r="46" spans="1:19" ht="17.25" customHeight="1" thickBot="1">
      <c r="A46" s="124" t="s">
        <v>100</v>
      </c>
      <c r="B46" s="125">
        <v>7.38</v>
      </c>
      <c r="C46" s="73">
        <v>-2.3809523799999999E-2</v>
      </c>
      <c r="D46" s="125"/>
      <c r="E46" s="73" t="str">
        <f t="shared" si="14"/>
        <v/>
      </c>
      <c r="F46" s="136" t="str">
        <f>IF(ISNUMBER(D46), $B64 * E46, "")</f>
        <v/>
      </c>
      <c r="G46" s="39"/>
      <c r="H46" s="73" t="str">
        <f t="shared" si="15"/>
        <v/>
      </c>
      <c r="I46" s="202" t="str">
        <f>IF(ISNUMBER(G46), $B64 * H46, "")</f>
        <v/>
      </c>
      <c r="J46" s="125"/>
      <c r="K46" s="73" t="str">
        <f t="shared" si="16"/>
        <v/>
      </c>
      <c r="L46" s="136" t="str">
        <f>IF(ISNUMBER(J46), $B64 * K46, "")</f>
        <v/>
      </c>
      <c r="M46" s="39"/>
      <c r="N46" s="73" t="str">
        <f t="shared" si="17"/>
        <v/>
      </c>
      <c r="O46" s="136" t="str">
        <f>IF(ISNUMBER(M46), $B64 * N46, "")</f>
        <v/>
      </c>
      <c r="Q46" s="275"/>
      <c r="R46" s="275"/>
      <c r="S46" s="275"/>
    </row>
    <row r="47" spans="1:19" ht="17.25" customHeight="1" thickBot="1">
      <c r="A47" s="124" t="s">
        <v>236</v>
      </c>
      <c r="B47" s="125">
        <v>70.7</v>
      </c>
      <c r="C47" s="73">
        <v>-2.7510316399999998E-2</v>
      </c>
      <c r="D47" s="125"/>
      <c r="E47" s="73" t="str">
        <f t="shared" si="14"/>
        <v/>
      </c>
      <c r="F47" s="136" t="str">
        <f>IF(ISNUMBER(D47), $B64 * E47, "")</f>
        <v/>
      </c>
      <c r="G47" s="39"/>
      <c r="H47" s="73" t="str">
        <f t="shared" si="15"/>
        <v/>
      </c>
      <c r="I47" s="202" t="str">
        <f>IF(ISNUMBER(G47), $B64 * H47, "")</f>
        <v/>
      </c>
      <c r="J47" s="125"/>
      <c r="K47" s="73" t="str">
        <f t="shared" si="16"/>
        <v/>
      </c>
      <c r="L47" s="136" t="str">
        <f>IF(ISNUMBER(J47), $B64 * K47, "")</f>
        <v/>
      </c>
      <c r="M47" s="39"/>
      <c r="N47" s="73" t="str">
        <f t="shared" si="17"/>
        <v/>
      </c>
      <c r="O47" s="136" t="str">
        <f>IF(ISNUMBER(M47), $B64 * N47, "")</f>
        <v/>
      </c>
      <c r="Q47" s="275"/>
      <c r="R47" s="275"/>
      <c r="S47" s="275"/>
    </row>
    <row r="48" spans="1:19" ht="17.25" customHeight="1" thickBot="1">
      <c r="A48" s="126" t="s">
        <v>196</v>
      </c>
      <c r="B48" s="127">
        <v>17.600000000000001</v>
      </c>
      <c r="C48" s="74">
        <v>-2.7624309400000002E-2</v>
      </c>
      <c r="D48" s="127"/>
      <c r="E48" s="74" t="str">
        <f t="shared" si="14"/>
        <v/>
      </c>
      <c r="F48" s="203" t="str">
        <f>IF(ISNUMBER(D48), $B64 * E48, "")</f>
        <v/>
      </c>
      <c r="G48" s="44"/>
      <c r="H48" s="74" t="str">
        <f t="shared" si="15"/>
        <v/>
      </c>
      <c r="I48" s="204" t="str">
        <f>IF(ISNUMBER(G48), $B64 * H48, "")</f>
        <v/>
      </c>
      <c r="J48" s="127"/>
      <c r="K48" s="74" t="str">
        <f t="shared" si="16"/>
        <v/>
      </c>
      <c r="L48" s="203" t="str">
        <f>IF(ISNUMBER(J48), $B64 * K48, "")</f>
        <v/>
      </c>
      <c r="M48" s="44"/>
      <c r="N48" s="74" t="str">
        <f t="shared" si="17"/>
        <v/>
      </c>
      <c r="O48" s="203" t="str">
        <f>IF(ISNUMBER(M48), $B64 * N48, "")</f>
        <v/>
      </c>
      <c r="Q48" s="275"/>
      <c r="R48" s="275"/>
      <c r="S48" s="275"/>
    </row>
    <row r="49" spans="1:19" ht="17.25" customHeight="1" thickBot="1">
      <c r="A49" s="124" t="s">
        <v>254</v>
      </c>
      <c r="B49" s="128">
        <v>71.7</v>
      </c>
      <c r="C49" s="76">
        <v>-3.2388663999999998E-2</v>
      </c>
      <c r="D49" s="128"/>
      <c r="E49" s="76" t="str">
        <f>IF(ISNUMBER(D49), (D49 - $B49) / $B49, "")</f>
        <v/>
      </c>
      <c r="F49" s="205" t="str">
        <f>IF(ISNUMBER(D49), $B64 * E49, "")</f>
        <v/>
      </c>
      <c r="G49" s="45"/>
      <c r="H49" s="76" t="str">
        <f>IF(ISNUMBER(G49), (G49 - $B49) / $B49, "")</f>
        <v/>
      </c>
      <c r="I49" s="206" t="str">
        <f>IF(ISNUMBER(G49), $B64 * H49, "")</f>
        <v/>
      </c>
      <c r="J49" s="128"/>
      <c r="K49" s="76" t="str">
        <f>IF(ISNUMBER(J49), (J49 - $B49) / $B49, "")</f>
        <v/>
      </c>
      <c r="L49" s="205" t="str">
        <f>IF(ISNUMBER(J49), $B64 * K49, "")</f>
        <v/>
      </c>
      <c r="M49" s="45"/>
      <c r="N49" s="76" t="str">
        <f>IF(ISNUMBER(M49), (M49 - $B49) / $B49, "")</f>
        <v/>
      </c>
      <c r="O49" s="205" t="str">
        <f>IF(ISNUMBER(M49), $B64 * N49, "")</f>
        <v/>
      </c>
      <c r="Q49" s="275"/>
      <c r="R49" s="275"/>
      <c r="S49" s="275"/>
    </row>
    <row r="50" spans="1:19" ht="17.25" customHeight="1" thickBot="1">
      <c r="A50" s="124" t="s">
        <v>154</v>
      </c>
      <c r="B50" s="125">
        <v>17.600000000000001</v>
      </c>
      <c r="C50" s="73">
        <v>-3.2967033E-2</v>
      </c>
      <c r="D50" s="125"/>
      <c r="E50" s="73" t="str">
        <f t="shared" ref="E50:E53" si="18">IF(ISNUMBER(D50), (D50 - $B50) / $B50, "")</f>
        <v/>
      </c>
      <c r="F50" s="136" t="str">
        <f>IF(ISNUMBER(D50), $B64 * E50, "")</f>
        <v/>
      </c>
      <c r="G50" s="39"/>
      <c r="H50" s="73" t="str">
        <f t="shared" ref="H50:H53" si="19">IF(ISNUMBER(G50), (G50 - $B50) / $B50, "")</f>
        <v/>
      </c>
      <c r="I50" s="202" t="str">
        <f>IF(ISNUMBER(G50), $B64 * H50, "")</f>
        <v/>
      </c>
      <c r="J50" s="125"/>
      <c r="K50" s="73" t="str">
        <f t="shared" ref="K50:K53" si="20">IF(ISNUMBER(J50), (J50 - $B50) / $B50, "")</f>
        <v/>
      </c>
      <c r="L50" s="136" t="str">
        <f>IF(ISNUMBER(J50), $B64 * K50, "")</f>
        <v/>
      </c>
      <c r="M50" s="39"/>
      <c r="N50" s="73" t="str">
        <f t="shared" ref="N50:N53" si="21">IF(ISNUMBER(M50), (M50 - $B50) / $B50, "")</f>
        <v/>
      </c>
      <c r="O50" s="136" t="str">
        <f>IF(ISNUMBER(M50), $B64 * N50, "")</f>
        <v/>
      </c>
      <c r="Q50" s="275"/>
      <c r="R50" s="275"/>
      <c r="S50" s="275"/>
    </row>
    <row r="51" spans="1:19" ht="17.25" customHeight="1" thickBot="1">
      <c r="A51" s="124" t="s">
        <v>72</v>
      </c>
      <c r="B51" s="125">
        <v>31.2</v>
      </c>
      <c r="C51" s="73">
        <v>-3.7037037000000002E-2</v>
      </c>
      <c r="D51" s="125"/>
      <c r="E51" s="73" t="str">
        <f t="shared" si="18"/>
        <v/>
      </c>
      <c r="F51" s="136" t="str">
        <f>IF(ISNUMBER(D51), $B64 * E51, "")</f>
        <v/>
      </c>
      <c r="G51" s="39"/>
      <c r="H51" s="73" t="str">
        <f t="shared" si="19"/>
        <v/>
      </c>
      <c r="I51" s="202" t="str">
        <f>IF(ISNUMBER(G51), $B64 * H51, "")</f>
        <v/>
      </c>
      <c r="J51" s="125"/>
      <c r="K51" s="73" t="str">
        <f t="shared" si="20"/>
        <v/>
      </c>
      <c r="L51" s="136" t="str">
        <f>IF(ISNUMBER(J51), $B64 * K51, "")</f>
        <v/>
      </c>
      <c r="M51" s="39"/>
      <c r="N51" s="73" t="str">
        <f t="shared" si="21"/>
        <v/>
      </c>
      <c r="O51" s="136" t="str">
        <f>IF(ISNUMBER(M51), $B64 * N51, "")</f>
        <v/>
      </c>
      <c r="Q51" s="275"/>
      <c r="R51" s="275"/>
      <c r="S51" s="275"/>
    </row>
    <row r="52" spans="1:19" ht="17.25" customHeight="1" thickBot="1">
      <c r="A52" s="124" t="s">
        <v>214</v>
      </c>
      <c r="B52" s="125">
        <v>19.100000000000001</v>
      </c>
      <c r="C52" s="73">
        <v>-4.0201004999999998E-2</v>
      </c>
      <c r="D52" s="125"/>
      <c r="E52" s="73" t="str">
        <f t="shared" si="18"/>
        <v/>
      </c>
      <c r="F52" s="136" t="str">
        <f>IF(ISNUMBER(D52), $B64 * E52, "")</f>
        <v/>
      </c>
      <c r="G52" s="39"/>
      <c r="H52" s="73" t="str">
        <f t="shared" si="19"/>
        <v/>
      </c>
      <c r="I52" s="202" t="str">
        <f>IF(ISNUMBER(G52), $B64 * H52, "")</f>
        <v/>
      </c>
      <c r="J52" s="125"/>
      <c r="K52" s="73" t="str">
        <f t="shared" si="20"/>
        <v/>
      </c>
      <c r="L52" s="136" t="str">
        <f>IF(ISNUMBER(J52), $B64 * K52, "")</f>
        <v/>
      </c>
      <c r="M52" s="39"/>
      <c r="N52" s="73" t="str">
        <f t="shared" si="21"/>
        <v/>
      </c>
      <c r="O52" s="136" t="str">
        <f>IF(ISNUMBER(M52), $B64 * N52, "")</f>
        <v/>
      </c>
      <c r="Q52" s="33"/>
      <c r="R52" s="33"/>
    </row>
    <row r="53" spans="1:19" ht="17.25" customHeight="1" thickBot="1">
      <c r="A53" s="129" t="s">
        <v>268</v>
      </c>
      <c r="B53" s="130">
        <v>79</v>
      </c>
      <c r="C53" s="75">
        <v>-4.2424242399999999E-2</v>
      </c>
      <c r="D53" s="130"/>
      <c r="E53" s="75" t="str">
        <f t="shared" si="18"/>
        <v/>
      </c>
      <c r="F53" s="137" t="str">
        <f>IF(ISNUMBER(D53), $B64 * E53, "")</f>
        <v/>
      </c>
      <c r="G53" s="37"/>
      <c r="H53" s="75" t="str">
        <f t="shared" si="19"/>
        <v/>
      </c>
      <c r="I53" s="207" t="str">
        <f>IF(ISNUMBER(G53), $B64 * H53, "")</f>
        <v/>
      </c>
      <c r="J53" s="130"/>
      <c r="K53" s="75" t="str">
        <f t="shared" si="20"/>
        <v/>
      </c>
      <c r="L53" s="137" t="str">
        <f>IF(ISNUMBER(J53), $B64 * K53, "")</f>
        <v/>
      </c>
      <c r="M53" s="37"/>
      <c r="N53" s="75" t="str">
        <f t="shared" si="21"/>
        <v/>
      </c>
      <c r="O53" s="137" t="str">
        <f>IF(ISNUMBER(M53), $B64 * N53, "")</f>
        <v/>
      </c>
      <c r="Q53" s="284"/>
      <c r="R53" s="285"/>
      <c r="S53" s="286"/>
    </row>
    <row r="54" spans="1:19" ht="17.25" customHeight="1">
      <c r="A54" s="122" t="s">
        <v>198</v>
      </c>
      <c r="B54" s="123">
        <v>23.4</v>
      </c>
      <c r="C54" s="72">
        <v>-4.4897959199999997E-2</v>
      </c>
      <c r="D54" s="123"/>
      <c r="E54" s="72" t="str">
        <f>IF(ISNUMBER(D54), (D54 - $B54) / $B54, "")</f>
        <v/>
      </c>
      <c r="F54" s="140" t="str">
        <f>IF(ISNUMBER(D54), $B64 * E54, "")</f>
        <v/>
      </c>
      <c r="G54" s="38"/>
      <c r="H54" s="72" t="str">
        <f>IF(ISNUMBER(G54), (G54 - $B54) / $B54, "")</f>
        <v/>
      </c>
      <c r="I54" s="201" t="str">
        <f>IF(ISNUMBER(G54), $B64 * H54, "")</f>
        <v/>
      </c>
      <c r="J54" s="123"/>
      <c r="K54" s="72" t="str">
        <f>IF(ISNUMBER(J54), (J54 - $B54) / $B54, "")</f>
        <v/>
      </c>
      <c r="L54" s="140" t="str">
        <f>IF(ISNUMBER(J54), $B64 * K54, "")</f>
        <v/>
      </c>
      <c r="M54" s="38"/>
      <c r="N54" s="72" t="str">
        <f>IF(ISNUMBER(M54), (M54 - $B54) / $B54, "")</f>
        <v/>
      </c>
      <c r="O54" s="140" t="str">
        <f>IF(ISNUMBER(M54), $B64 * N54, "")</f>
        <v/>
      </c>
      <c r="Q54" s="287"/>
      <c r="R54" s="288"/>
      <c r="S54" s="289"/>
    </row>
    <row r="55" spans="1:19" ht="17.25" customHeight="1" thickBot="1">
      <c r="A55" s="124" t="s">
        <v>266</v>
      </c>
      <c r="B55" s="125">
        <v>88</v>
      </c>
      <c r="C55" s="73">
        <v>-4.55531453E-2</v>
      </c>
      <c r="D55" s="125"/>
      <c r="E55" s="73" t="str">
        <f t="shared" ref="E55:E58" si="22">IF(ISNUMBER(D55), (D55 - $B55) / $B55, "")</f>
        <v/>
      </c>
      <c r="F55" s="136" t="str">
        <f>IF(ISNUMBER(D55), $B64 * E55, "")</f>
        <v/>
      </c>
      <c r="G55" s="39"/>
      <c r="H55" s="73" t="str">
        <f t="shared" ref="H55:H58" si="23">IF(ISNUMBER(G55), (G55 - $B55) / $B55, "")</f>
        <v/>
      </c>
      <c r="I55" s="202" t="str">
        <f>IF(ISNUMBER(G55), $B64 * H55, "")</f>
        <v/>
      </c>
      <c r="J55" s="125"/>
      <c r="K55" s="73" t="str">
        <f t="shared" ref="K55:K58" si="24">IF(ISNUMBER(J55), (J55 - $B55) / $B55, "")</f>
        <v/>
      </c>
      <c r="L55" s="136" t="str">
        <f>IF(ISNUMBER(J55), $B64 * K55, "")</f>
        <v/>
      </c>
      <c r="M55" s="39"/>
      <c r="N55" s="73" t="str">
        <f t="shared" ref="N55:N58" si="25">IF(ISNUMBER(M55), (M55 - $B55) / $B55, "")</f>
        <v/>
      </c>
      <c r="O55" s="136" t="str">
        <f>IF(ISNUMBER(M55), $B64 * N55, "")</f>
        <v/>
      </c>
      <c r="Q55" s="290"/>
      <c r="R55" s="291"/>
      <c r="S55" s="292"/>
    </row>
    <row r="56" spans="1:19" ht="17.25" customHeight="1" thickBot="1">
      <c r="A56" s="124" t="s">
        <v>65</v>
      </c>
      <c r="B56" s="125">
        <v>61.6</v>
      </c>
      <c r="C56" s="73">
        <v>-4.6439628500000003E-2</v>
      </c>
      <c r="D56" s="125"/>
      <c r="E56" s="73" t="str">
        <f t="shared" si="22"/>
        <v/>
      </c>
      <c r="F56" s="136" t="str">
        <f>IF(ISNUMBER(D56), $B64 * E56, "")</f>
        <v/>
      </c>
      <c r="G56" s="39"/>
      <c r="H56" s="73" t="str">
        <f t="shared" si="23"/>
        <v/>
      </c>
      <c r="I56" s="202" t="str">
        <f>IF(ISNUMBER(G56), $B64 * H56, "")</f>
        <v/>
      </c>
      <c r="J56" s="125"/>
      <c r="K56" s="73" t="str">
        <f t="shared" si="24"/>
        <v/>
      </c>
      <c r="L56" s="136" t="str">
        <f>IF(ISNUMBER(J56), $B64 * K56, "")</f>
        <v/>
      </c>
      <c r="M56" s="39"/>
      <c r="N56" s="73" t="str">
        <f t="shared" si="25"/>
        <v/>
      </c>
      <c r="O56" s="136" t="str">
        <f>IF(ISNUMBER(M56), $B64 * N56, "")</f>
        <v/>
      </c>
      <c r="Q56" s="275"/>
      <c r="R56" s="275"/>
      <c r="S56" s="275"/>
    </row>
    <row r="57" spans="1:19" ht="17.25" customHeight="1" thickBot="1">
      <c r="A57" s="124" t="s">
        <v>222</v>
      </c>
      <c r="B57" s="125">
        <v>15.7</v>
      </c>
      <c r="C57" s="73">
        <v>-4.8484848499999997E-2</v>
      </c>
      <c r="D57" s="125"/>
      <c r="E57" s="73" t="str">
        <f t="shared" si="22"/>
        <v/>
      </c>
      <c r="F57" s="136" t="str">
        <f>IF(ISNUMBER(D57), $B64 * E57, "")</f>
        <v/>
      </c>
      <c r="G57" s="39"/>
      <c r="H57" s="73" t="str">
        <f t="shared" si="23"/>
        <v/>
      </c>
      <c r="I57" s="202" t="str">
        <f>IF(ISNUMBER(G57), $B64 * H57, "")</f>
        <v/>
      </c>
      <c r="J57" s="125"/>
      <c r="K57" s="73" t="str">
        <f t="shared" si="24"/>
        <v/>
      </c>
      <c r="L57" s="136" t="str">
        <f>IF(ISNUMBER(J57), $B64 * K57, "")</f>
        <v/>
      </c>
      <c r="M57" s="39"/>
      <c r="N57" s="73" t="str">
        <f t="shared" si="25"/>
        <v/>
      </c>
      <c r="O57" s="136" t="str">
        <f>IF(ISNUMBER(M57), $B64 * N57, "")</f>
        <v/>
      </c>
      <c r="Q57" s="270"/>
      <c r="R57" s="270"/>
      <c r="S57" s="270"/>
    </row>
    <row r="58" spans="1:19" ht="17.25" customHeight="1" thickBot="1">
      <c r="A58" s="126" t="s">
        <v>228</v>
      </c>
      <c r="B58" s="127">
        <v>15.4</v>
      </c>
      <c r="C58" s="74">
        <v>-4.9382716E-2</v>
      </c>
      <c r="D58" s="127"/>
      <c r="E58" s="74" t="str">
        <f t="shared" si="22"/>
        <v/>
      </c>
      <c r="F58" s="203" t="str">
        <f>IF(ISNUMBER(D58), $B64 * E58, "")</f>
        <v/>
      </c>
      <c r="G58" s="44"/>
      <c r="H58" s="74" t="str">
        <f t="shared" si="23"/>
        <v/>
      </c>
      <c r="I58" s="204" t="str">
        <f>IF(ISNUMBER(G58), $B64 * H58, "")</f>
        <v/>
      </c>
      <c r="J58" s="127"/>
      <c r="K58" s="74" t="str">
        <f t="shared" si="24"/>
        <v/>
      </c>
      <c r="L58" s="203" t="str">
        <f>IF(ISNUMBER(J58), $B64 * K58, "")</f>
        <v/>
      </c>
      <c r="M58" s="44"/>
      <c r="N58" s="74" t="str">
        <f t="shared" si="25"/>
        <v/>
      </c>
      <c r="O58" s="203" t="str">
        <f>IF(ISNUMBER(M58), $B64 * N58, "")</f>
        <v/>
      </c>
      <c r="Q58" s="270"/>
      <c r="R58" s="270"/>
      <c r="S58" s="270"/>
    </row>
    <row r="59" spans="1:19" ht="17.25" customHeight="1" thickBot="1">
      <c r="A59" s="124" t="s">
        <v>152</v>
      </c>
      <c r="B59" s="128">
        <v>37.9</v>
      </c>
      <c r="C59" s="76">
        <v>-5.2499999999999998E-2</v>
      </c>
      <c r="D59" s="128"/>
      <c r="E59" s="76" t="str">
        <f>IF(ISNUMBER(D59), (D59 - $B59) / $B59, "")</f>
        <v/>
      </c>
      <c r="F59" s="205" t="str">
        <f>IF(ISNUMBER(D59), $B64 * E59, "")</f>
        <v/>
      </c>
      <c r="G59" s="45"/>
      <c r="H59" s="76" t="str">
        <f>IF(ISNUMBER(G59), (G59 - $B59) / $B59, "")</f>
        <v/>
      </c>
      <c r="I59" s="206" t="str">
        <f>IF(ISNUMBER(G59), $B64 * H59, "")</f>
        <v/>
      </c>
      <c r="J59" s="128"/>
      <c r="K59" s="76" t="str">
        <f>IF(ISNUMBER(J59), (J59 - $B59) / $B59, "")</f>
        <v/>
      </c>
      <c r="L59" s="205" t="str">
        <f>IF(ISNUMBER(J59), $B64 * K59, "")</f>
        <v/>
      </c>
      <c r="M59" s="45"/>
      <c r="N59" s="76" t="str">
        <f>IF(ISNUMBER(M59), (M59 - $B59) / $B59, "")</f>
        <v/>
      </c>
      <c r="O59" s="205" t="str">
        <f>IF(ISNUMBER(M59), $B64 * N59, "")</f>
        <v/>
      </c>
      <c r="Q59" s="275"/>
      <c r="R59" s="275"/>
      <c r="S59" s="275"/>
    </row>
    <row r="60" spans="1:19" ht="17.25" customHeight="1" thickBot="1">
      <c r="A60" s="124" t="s">
        <v>218</v>
      </c>
      <c r="B60" s="125">
        <v>23</v>
      </c>
      <c r="C60" s="73">
        <v>-5.3497942399999998E-2</v>
      </c>
      <c r="D60" s="125"/>
      <c r="E60" s="73" t="str">
        <f t="shared" ref="E60:E63" si="26">IF(ISNUMBER(D60), (D60 - $B60) / $B60, "")</f>
        <v/>
      </c>
      <c r="F60" s="136" t="str">
        <f>IF(ISNUMBER(D60), $B64 * E60, "")</f>
        <v/>
      </c>
      <c r="G60" s="39"/>
      <c r="H60" s="73" t="str">
        <f t="shared" ref="H60:H63" si="27">IF(ISNUMBER(G60), (G60 - $B60) / $B60, "")</f>
        <v/>
      </c>
      <c r="I60" s="202" t="str">
        <f>IF(ISNUMBER(G60), $B64 * H60, "")</f>
        <v/>
      </c>
      <c r="J60" s="125"/>
      <c r="K60" s="73" t="str">
        <f t="shared" ref="K60:K63" si="28">IF(ISNUMBER(J60), (J60 - $B60) / $B60, "")</f>
        <v/>
      </c>
      <c r="L60" s="136" t="str">
        <f>IF(ISNUMBER(J60), $B64 * K60, "")</f>
        <v/>
      </c>
      <c r="M60" s="39"/>
      <c r="N60" s="73" t="str">
        <f t="shared" ref="N60:N63" si="29">IF(ISNUMBER(M60), (M60 - $B60) / $B60, "")</f>
        <v/>
      </c>
      <c r="O60" s="136" t="str">
        <f>IF(ISNUMBER(M60), $B64 * N60, "")</f>
        <v/>
      </c>
      <c r="Q60" s="275"/>
      <c r="R60" s="275"/>
      <c r="S60" s="275"/>
    </row>
    <row r="61" spans="1:19" ht="17.25" customHeight="1" thickBot="1">
      <c r="A61" s="124" t="s">
        <v>172</v>
      </c>
      <c r="B61" s="125">
        <v>22.5</v>
      </c>
      <c r="C61" s="73">
        <v>-6.25E-2</v>
      </c>
      <c r="D61" s="125"/>
      <c r="E61" s="73" t="str">
        <f t="shared" si="26"/>
        <v/>
      </c>
      <c r="F61" s="136" t="str">
        <f>IF(ISNUMBER(D61), $B64 * E61, "")</f>
        <v/>
      </c>
      <c r="G61" s="39"/>
      <c r="H61" s="73" t="str">
        <f t="shared" si="27"/>
        <v/>
      </c>
      <c r="I61" s="202" t="str">
        <f>IF(ISNUMBER(G61), $B64 * H61, "")</f>
        <v/>
      </c>
      <c r="J61" s="125"/>
      <c r="K61" s="73" t="str">
        <f t="shared" si="28"/>
        <v/>
      </c>
      <c r="L61" s="136" t="str">
        <f>IF(ISNUMBER(J61), $B64 * K61, "")</f>
        <v/>
      </c>
      <c r="M61" s="39"/>
      <c r="N61" s="73" t="str">
        <f t="shared" si="29"/>
        <v/>
      </c>
      <c r="O61" s="136" t="str">
        <f>IF(ISNUMBER(M61), $B64 * N61, "")</f>
        <v/>
      </c>
      <c r="Q61" s="275"/>
      <c r="R61" s="275"/>
      <c r="S61" s="275"/>
    </row>
    <row r="62" spans="1:19" ht="17.25" customHeight="1">
      <c r="A62" s="124" t="s">
        <v>186</v>
      </c>
      <c r="B62" s="125">
        <v>22.4</v>
      </c>
      <c r="C62" s="73">
        <v>-7.4380165299999995E-2</v>
      </c>
      <c r="D62" s="125"/>
      <c r="E62" s="73" t="str">
        <f t="shared" si="26"/>
        <v/>
      </c>
      <c r="F62" s="136" t="str">
        <f>IF(ISNUMBER(D62), $B64 * E62, "")</f>
        <v/>
      </c>
      <c r="G62" s="39"/>
      <c r="H62" s="73" t="str">
        <f t="shared" si="27"/>
        <v/>
      </c>
      <c r="I62" s="202" t="str">
        <f>IF(ISNUMBER(G62), $B64 * H62, "")</f>
        <v/>
      </c>
      <c r="J62" s="125"/>
      <c r="K62" s="73" t="str">
        <f t="shared" si="28"/>
        <v/>
      </c>
      <c r="L62" s="136" t="str">
        <f>IF(ISNUMBER(J62), $B64 * K62, "")</f>
        <v/>
      </c>
      <c r="M62" s="39"/>
      <c r="N62" s="73" t="str">
        <f t="shared" si="29"/>
        <v/>
      </c>
      <c r="O62" s="136" t="str">
        <f>IF(ISNUMBER(M62), $B64 * N62, "")</f>
        <v/>
      </c>
      <c r="Q62" s="297"/>
      <c r="R62" s="298"/>
      <c r="S62" s="299"/>
    </row>
    <row r="63" spans="1:19" ht="17.25" customHeight="1" thickBot="1">
      <c r="A63" s="129" t="s">
        <v>303</v>
      </c>
      <c r="B63" s="130">
        <v>142</v>
      </c>
      <c r="C63" s="75">
        <v>-2.7400000000000001E-2</v>
      </c>
      <c r="D63" s="130"/>
      <c r="E63" s="75" t="str">
        <f t="shared" si="26"/>
        <v/>
      </c>
      <c r="F63" s="137" t="str">
        <f>IF(ISNUMBER(D63), $B64 * E63, "")</f>
        <v/>
      </c>
      <c r="G63" s="37"/>
      <c r="H63" s="75" t="str">
        <f t="shared" si="27"/>
        <v/>
      </c>
      <c r="I63" s="207" t="str">
        <f>IF(ISNUMBER(G63), $B64 * H63, "")</f>
        <v/>
      </c>
      <c r="J63" s="130"/>
      <c r="K63" s="75" t="str">
        <f t="shared" si="28"/>
        <v/>
      </c>
      <c r="L63" s="137" t="str">
        <f>IF(ISNUMBER(J63), $B64 * K63, "")</f>
        <v/>
      </c>
      <c r="M63" s="37"/>
      <c r="N63" s="75" t="str">
        <f t="shared" si="29"/>
        <v/>
      </c>
      <c r="O63" s="137" t="str">
        <f>IF(ISNUMBER(M63), $B64 * N63, "")</f>
        <v/>
      </c>
      <c r="Q63" s="300"/>
      <c r="R63" s="301"/>
      <c r="S63" s="302"/>
    </row>
    <row r="64" spans="1:19" ht="17.25" customHeight="1" thickBot="1">
      <c r="A64" s="131" t="s">
        <v>301</v>
      </c>
      <c r="B64" s="308">
        <f>$B$37</f>
        <v>150000</v>
      </c>
      <c r="C64" s="309"/>
      <c r="D64" s="131" t="s">
        <v>302</v>
      </c>
      <c r="E64" s="244">
        <f>IF(COUNT(E44:E63), SUM(E44:E63) / COUNT(E44:E63), 0)</f>
        <v>0</v>
      </c>
      <c r="F64" s="208">
        <f>SUM(F44:F63)</f>
        <v>0</v>
      </c>
      <c r="G64" s="131" t="s">
        <v>302</v>
      </c>
      <c r="H64" s="244">
        <f>IF(COUNT(H44:H63), SUM(H44:H63) / COUNT(H44:H63), 0)</f>
        <v>0</v>
      </c>
      <c r="I64" s="208">
        <f>SUM(I44:I63)</f>
        <v>0</v>
      </c>
      <c r="J64" s="131" t="s">
        <v>302</v>
      </c>
      <c r="K64" s="244">
        <f>IF(COUNT(K44:K63), SUM(K44:K63) / COUNT(K44:K63), 0)</f>
        <v>0</v>
      </c>
      <c r="L64" s="208">
        <f>SUM(L44:L63)</f>
        <v>0</v>
      </c>
      <c r="M64" s="131" t="s">
        <v>302</v>
      </c>
      <c r="N64" s="244">
        <f>IF(COUNT(N44:N63), SUM(N44:N63) / COUNT(N44:N63), 0)</f>
        <v>0</v>
      </c>
      <c r="O64" s="208">
        <f>SUM(O44:O63)</f>
        <v>0</v>
      </c>
      <c r="Q64" s="303"/>
      <c r="R64" s="304"/>
      <c r="S64" s="305"/>
    </row>
    <row r="65" spans="1:19" ht="17.25" customHeight="1"/>
    <row r="66" spans="1:19" ht="17.25" customHeight="1" thickBot="1"/>
    <row r="67" spans="1:19" ht="17.25" thickBot="1">
      <c r="A67" s="249" t="s">
        <v>45</v>
      </c>
      <c r="B67" s="250"/>
      <c r="C67" s="250"/>
      <c r="D67" s="250"/>
      <c r="E67" s="250"/>
      <c r="F67" s="250"/>
      <c r="G67" s="250"/>
      <c r="H67" s="250"/>
      <c r="I67" s="250"/>
      <c r="J67" s="250"/>
      <c r="K67" s="250"/>
      <c r="L67" s="250"/>
      <c r="M67" s="250"/>
      <c r="N67" s="250"/>
      <c r="O67" s="251"/>
      <c r="Q67" s="270"/>
      <c r="R67" s="270"/>
      <c r="S67" s="270"/>
    </row>
    <row r="68" spans="1:19" ht="17.25" thickBot="1">
      <c r="A68" s="241" t="s">
        <v>298</v>
      </c>
      <c r="B68" s="249" t="s">
        <v>49</v>
      </c>
      <c r="C68" s="251"/>
      <c r="D68" s="249" t="s">
        <v>58</v>
      </c>
      <c r="E68" s="250"/>
      <c r="F68" s="251"/>
      <c r="G68" s="276">
        <f>_xlfn.IFNA(VLOOKUP(B68, 현재가테이블!$B$2:$D$200, 2, FALSE), "-")</f>
        <v>60874000</v>
      </c>
      <c r="H68" s="277"/>
      <c r="I68" s="278"/>
      <c r="J68" s="249" t="s">
        <v>59</v>
      </c>
      <c r="K68" s="250"/>
      <c r="L68" s="251"/>
      <c r="M68" s="279">
        <f>_xlfn.IFNA(VLOOKUP(B68, 현재가테이블!$B$2:$D$200, 3, FALSE), "-")</f>
        <v>-1.4936000099999999E-2</v>
      </c>
      <c r="N68" s="280"/>
      <c r="O68" s="281"/>
      <c r="Q68" s="270"/>
      <c r="R68" s="270"/>
      <c r="S68" s="270"/>
    </row>
    <row r="69" spans="1:19" ht="17.25" thickBot="1">
      <c r="A69" s="310" t="s">
        <v>55</v>
      </c>
      <c r="B69" s="312" t="str">
        <f>TEXT($G$1, "[$-ko-KR]yyyy-mm-dd(ddd) ") &amp; "오전 00:00"</f>
        <v>2021-05-16(일) 오전 00:00</v>
      </c>
      <c r="C69" s="313"/>
      <c r="D69" s="249" t="str">
        <f>TEXT($G$1, "[$-ko-KR]yyyy-mm-dd(ddd) ") &amp; "오후 14:00"</f>
        <v>2021-05-16(일) 오후 14:00</v>
      </c>
      <c r="E69" s="250"/>
      <c r="F69" s="251"/>
      <c r="G69" s="249" t="str">
        <f>TEXT($G$1, "[$-ko-KR]yyyy-mm-dd(ddd) ") &amp; "오후 19:00"</f>
        <v>2021-05-16(일) 오후 19:00</v>
      </c>
      <c r="H69" s="250"/>
      <c r="I69" s="251"/>
      <c r="J69" s="249" t="str">
        <f>TEXT($G$1, "[$-ko-KR]yyyy-mm-dd(ddd) ") &amp; "오후 21:00"</f>
        <v>2021-05-16(일) 오후 21:00</v>
      </c>
      <c r="K69" s="250"/>
      <c r="L69" s="251"/>
      <c r="M69" s="249" t="str">
        <f>TEXT($G$1+1, "[$-ko-KR]yyyy-mm-dd(ddd) ") &amp; "오전 00:00"</f>
        <v>2021-05-17(월) 오전 00:00</v>
      </c>
      <c r="N69" s="250"/>
      <c r="O69" s="251"/>
      <c r="Q69" s="270"/>
      <c r="R69" s="270"/>
      <c r="S69" s="270"/>
    </row>
    <row r="70" spans="1:19" ht="17.25" thickBot="1">
      <c r="A70" s="311"/>
      <c r="B70" s="120" t="s">
        <v>58</v>
      </c>
      <c r="C70" s="121" t="s">
        <v>59</v>
      </c>
      <c r="D70" s="120" t="s">
        <v>58</v>
      </c>
      <c r="E70" s="121" t="s">
        <v>299</v>
      </c>
      <c r="F70" s="248" t="s">
        <v>300</v>
      </c>
      <c r="G70" s="241" t="s">
        <v>58</v>
      </c>
      <c r="H70" s="242" t="s">
        <v>299</v>
      </c>
      <c r="I70" s="243" t="s">
        <v>300</v>
      </c>
      <c r="J70" s="121" t="s">
        <v>58</v>
      </c>
      <c r="K70" s="121" t="s">
        <v>299</v>
      </c>
      <c r="L70" s="246" t="s">
        <v>300</v>
      </c>
      <c r="M70" s="120" t="s">
        <v>58</v>
      </c>
      <c r="N70" s="121" t="s">
        <v>299</v>
      </c>
      <c r="O70" s="247" t="s">
        <v>300</v>
      </c>
      <c r="Q70" s="275"/>
      <c r="R70" s="275"/>
      <c r="S70" s="275"/>
    </row>
    <row r="71" spans="1:19" ht="17.25" thickBot="1">
      <c r="A71" s="122" t="s">
        <v>88</v>
      </c>
      <c r="B71" s="123">
        <v>588</v>
      </c>
      <c r="C71" s="72">
        <v>9.0909090900000003E-2</v>
      </c>
      <c r="D71" s="123"/>
      <c r="E71" s="72" t="str">
        <f>IF(ISNUMBER(D71), (D71 - $B71) / $B71, "")</f>
        <v/>
      </c>
      <c r="F71" s="140" t="str">
        <f>IF(ISNUMBER(D71), $B91 * E71, "")</f>
        <v/>
      </c>
      <c r="G71" s="38"/>
      <c r="H71" s="72" t="str">
        <f>IF(ISNUMBER(G71), (G71 - $B71) / $B71, "")</f>
        <v/>
      </c>
      <c r="I71" s="201" t="str">
        <f>IF(ISNUMBER(G71), $B91 * H71, "")</f>
        <v/>
      </c>
      <c r="J71" s="123"/>
      <c r="K71" s="72" t="str">
        <f>IF(ISNUMBER(J71), (J71 - $B71) / $B71, "")</f>
        <v/>
      </c>
      <c r="L71" s="140" t="str">
        <f>IF(ISNUMBER(J71), $B91 * K71, "")</f>
        <v/>
      </c>
      <c r="M71" s="38"/>
      <c r="N71" s="72" t="str">
        <f>IF(ISNUMBER(M71), (M71 - $B71) / $B71, "")</f>
        <v/>
      </c>
      <c r="O71" s="140" t="str">
        <f>IF(ISNUMBER(M71), $B91 * N71, "")</f>
        <v/>
      </c>
      <c r="Q71" s="270"/>
      <c r="R71" s="270"/>
      <c r="S71" s="270"/>
    </row>
    <row r="72" spans="1:19" ht="17.25" thickBot="1">
      <c r="A72" s="124" t="s">
        <v>116</v>
      </c>
      <c r="B72" s="125">
        <v>588</v>
      </c>
      <c r="C72" s="73">
        <v>8.2872928200000001E-2</v>
      </c>
      <c r="D72" s="125"/>
      <c r="E72" s="73" t="str">
        <f t="shared" ref="E72:E75" si="30">IF(ISNUMBER(D72), (D72 - $B72) / $B72, "")</f>
        <v/>
      </c>
      <c r="F72" s="136" t="str">
        <f>IF(ISNUMBER(D72), $B91 * E72, "")</f>
        <v/>
      </c>
      <c r="G72" s="39"/>
      <c r="H72" s="73" t="str">
        <f t="shared" ref="H72:H75" si="31">IF(ISNUMBER(G72), (G72 - $B72) / $B72, "")</f>
        <v/>
      </c>
      <c r="I72" s="202" t="str">
        <f>IF(ISNUMBER(G72), $B91 * H72, "")</f>
        <v/>
      </c>
      <c r="J72" s="125"/>
      <c r="K72" s="73" t="str">
        <f t="shared" ref="K72:K75" si="32">IF(ISNUMBER(J72), (J72 - $B72) / $B72, "")</f>
        <v/>
      </c>
      <c r="L72" s="136" t="str">
        <f>IF(ISNUMBER(J72), $B91 * K72, "")</f>
        <v/>
      </c>
      <c r="M72" s="39"/>
      <c r="N72" s="73" t="str">
        <f t="shared" ref="N72:N75" si="33">IF(ISNUMBER(M72), (M72 - $B72) / $B72, "")</f>
        <v/>
      </c>
      <c r="O72" s="136" t="str">
        <f>IF(ISNUMBER(M72), $B91 * N72, "")</f>
        <v/>
      </c>
      <c r="Q72" s="270"/>
      <c r="R72" s="270"/>
      <c r="S72" s="270"/>
    </row>
    <row r="73" spans="1:19" ht="17.25" thickBot="1">
      <c r="A73" s="124" t="s">
        <v>51</v>
      </c>
      <c r="B73" s="125">
        <v>888</v>
      </c>
      <c r="C73" s="73">
        <v>7.7669902900000004E-2</v>
      </c>
      <c r="D73" s="125"/>
      <c r="E73" s="73" t="str">
        <f t="shared" si="30"/>
        <v/>
      </c>
      <c r="F73" s="136" t="str">
        <f>IF(ISNUMBER(D73), $B91 * E73, "")</f>
        <v/>
      </c>
      <c r="G73" s="39"/>
      <c r="H73" s="73" t="str">
        <f t="shared" si="31"/>
        <v/>
      </c>
      <c r="I73" s="202" t="str">
        <f>IF(ISNUMBER(G73), $B91 * H73, "")</f>
        <v/>
      </c>
      <c r="J73" s="125"/>
      <c r="K73" s="73" t="str">
        <f t="shared" si="32"/>
        <v/>
      </c>
      <c r="L73" s="136" t="str">
        <f>IF(ISNUMBER(J73), $B91 * K73, "")</f>
        <v/>
      </c>
      <c r="M73" s="39"/>
      <c r="N73" s="73" t="str">
        <f t="shared" si="33"/>
        <v/>
      </c>
      <c r="O73" s="136" t="str">
        <f>IF(ISNUMBER(M73), $B91 * N73, "")</f>
        <v/>
      </c>
      <c r="Q73" s="275"/>
      <c r="R73" s="275"/>
      <c r="S73" s="275"/>
    </row>
    <row r="74" spans="1:19" ht="17.25" thickBot="1">
      <c r="A74" s="124" t="s">
        <v>246</v>
      </c>
      <c r="B74" s="125">
        <v>346</v>
      </c>
      <c r="C74" s="73">
        <v>5.4878048800000002E-2</v>
      </c>
      <c r="D74" s="125"/>
      <c r="E74" s="73" t="str">
        <f t="shared" si="30"/>
        <v/>
      </c>
      <c r="F74" s="136" t="str">
        <f>IF(ISNUMBER(D74), $B91 * E74, "")</f>
        <v/>
      </c>
      <c r="G74" s="39"/>
      <c r="H74" s="73" t="str">
        <f t="shared" si="31"/>
        <v/>
      </c>
      <c r="I74" s="202" t="str">
        <f>IF(ISNUMBER(G74), $B91 * H74, "")</f>
        <v/>
      </c>
      <c r="J74" s="125"/>
      <c r="K74" s="73" t="str">
        <f t="shared" si="32"/>
        <v/>
      </c>
      <c r="L74" s="136" t="str">
        <f>IF(ISNUMBER(J74), $B91 * K74, "")</f>
        <v/>
      </c>
      <c r="M74" s="39"/>
      <c r="N74" s="73" t="str">
        <f t="shared" si="33"/>
        <v/>
      </c>
      <c r="O74" s="136" t="str">
        <f>IF(ISNUMBER(M74), $B91 * N74, "")</f>
        <v/>
      </c>
      <c r="Q74" s="275"/>
      <c r="R74" s="275"/>
      <c r="S74" s="275"/>
    </row>
    <row r="75" spans="1:19" ht="17.25" thickBot="1">
      <c r="A75" s="126" t="s">
        <v>168</v>
      </c>
      <c r="B75" s="127">
        <v>211</v>
      </c>
      <c r="C75" s="74">
        <v>4.4554455399999998E-2</v>
      </c>
      <c r="D75" s="127"/>
      <c r="E75" s="74" t="str">
        <f t="shared" si="30"/>
        <v/>
      </c>
      <c r="F75" s="203" t="str">
        <f>IF(ISNUMBER(D75), $B91 * E75, "")</f>
        <v/>
      </c>
      <c r="G75" s="44"/>
      <c r="H75" s="74" t="str">
        <f t="shared" si="31"/>
        <v/>
      </c>
      <c r="I75" s="204" t="str">
        <f>IF(ISNUMBER(G75), $B91 * H75, "")</f>
        <v/>
      </c>
      <c r="J75" s="127"/>
      <c r="K75" s="74" t="str">
        <f t="shared" si="32"/>
        <v/>
      </c>
      <c r="L75" s="203" t="str">
        <f>IF(ISNUMBER(J75), $B91 * K75, "")</f>
        <v/>
      </c>
      <c r="M75" s="44"/>
      <c r="N75" s="74" t="str">
        <f t="shared" si="33"/>
        <v/>
      </c>
      <c r="O75" s="203" t="str">
        <f>IF(ISNUMBER(M75), $B91 * N75, "")</f>
        <v/>
      </c>
      <c r="Q75" s="275"/>
      <c r="R75" s="275"/>
      <c r="S75" s="275"/>
    </row>
    <row r="76" spans="1:19" ht="17.25" thickBot="1">
      <c r="A76" s="124" t="s">
        <v>230</v>
      </c>
      <c r="B76" s="128">
        <v>155</v>
      </c>
      <c r="C76" s="76">
        <v>4.0268456399999999E-2</v>
      </c>
      <c r="D76" s="128"/>
      <c r="E76" s="76" t="str">
        <f>IF(ISNUMBER(D76), (D76 - $B76) / $B76, "")</f>
        <v/>
      </c>
      <c r="F76" s="205" t="str">
        <f>IF(ISNUMBER(D76), $B91 * E76, "")</f>
        <v/>
      </c>
      <c r="G76" s="45"/>
      <c r="H76" s="76" t="str">
        <f>IF(ISNUMBER(G76), (G76 - $B76) / $B76, "")</f>
        <v/>
      </c>
      <c r="I76" s="206" t="str">
        <f>IF(ISNUMBER(G76), $B91 * H76, "")</f>
        <v/>
      </c>
      <c r="J76" s="128"/>
      <c r="K76" s="76" t="str">
        <f>IF(ISNUMBER(J76), (J76 - $B76) / $B76, "")</f>
        <v/>
      </c>
      <c r="L76" s="205" t="str">
        <f>IF(ISNUMBER(J76), $B91 * K76, "")</f>
        <v/>
      </c>
      <c r="M76" s="45"/>
      <c r="N76" s="76" t="str">
        <f>IF(ISNUMBER(M76), (M76 - $B76) / $B76, "")</f>
        <v/>
      </c>
      <c r="O76" s="205" t="str">
        <f>IF(ISNUMBER(M76), $B91 * N76, "")</f>
        <v/>
      </c>
      <c r="Q76" s="275"/>
      <c r="R76" s="275"/>
      <c r="S76" s="275"/>
    </row>
    <row r="77" spans="1:19" ht="17.25" thickBot="1">
      <c r="A77" s="124" t="s">
        <v>226</v>
      </c>
      <c r="B77" s="125">
        <v>446</v>
      </c>
      <c r="C77" s="73">
        <v>2.0594965699999999E-2</v>
      </c>
      <c r="D77" s="125"/>
      <c r="E77" s="73" t="str">
        <f t="shared" ref="E77:E80" si="34">IF(ISNUMBER(D77), (D77 - $B77) / $B77, "")</f>
        <v/>
      </c>
      <c r="F77" s="136" t="str">
        <f>IF(ISNUMBER(D77), $B91 * E77, "")</f>
        <v/>
      </c>
      <c r="G77" s="39"/>
      <c r="H77" s="73" t="str">
        <f t="shared" ref="H77:H80" si="35">IF(ISNUMBER(G77), (G77 - $B77) / $B77, "")</f>
        <v/>
      </c>
      <c r="I77" s="202" t="str">
        <f>IF(ISNUMBER(G77), $B91 * H77, "")</f>
        <v/>
      </c>
      <c r="J77" s="125"/>
      <c r="K77" s="73" t="str">
        <f t="shared" ref="K77:K80" si="36">IF(ISNUMBER(J77), (J77 - $B77) / $B77, "")</f>
        <v/>
      </c>
      <c r="L77" s="136" t="str">
        <f>IF(ISNUMBER(J77), $B91 * K77, "")</f>
        <v/>
      </c>
      <c r="M77" s="39"/>
      <c r="N77" s="73" t="str">
        <f t="shared" ref="N77:N80" si="37">IF(ISNUMBER(M77), (M77 - $B77) / $B77, "")</f>
        <v/>
      </c>
      <c r="O77" s="136" t="str">
        <f>IF(ISNUMBER(M77), $B91 * N77, "")</f>
        <v/>
      </c>
      <c r="Q77" s="275"/>
      <c r="R77" s="275"/>
      <c r="S77" s="275"/>
    </row>
    <row r="78" spans="1:19" ht="17.25" thickBot="1">
      <c r="A78" s="124" t="s">
        <v>210</v>
      </c>
      <c r="B78" s="125">
        <v>171</v>
      </c>
      <c r="C78" s="73">
        <v>1.7857142900000001E-2</v>
      </c>
      <c r="D78" s="125"/>
      <c r="E78" s="73" t="str">
        <f t="shared" si="34"/>
        <v/>
      </c>
      <c r="F78" s="136" t="str">
        <f>IF(ISNUMBER(D78), $B91 * E78, "")</f>
        <v/>
      </c>
      <c r="G78" s="39"/>
      <c r="H78" s="73" t="str">
        <f t="shared" si="35"/>
        <v/>
      </c>
      <c r="I78" s="202" t="str">
        <f>IF(ISNUMBER(G78), $B91 * H78, "")</f>
        <v/>
      </c>
      <c r="J78" s="125"/>
      <c r="K78" s="73" t="str">
        <f t="shared" si="36"/>
        <v/>
      </c>
      <c r="L78" s="136" t="str">
        <f>IF(ISNUMBER(J78), $B91 * K78, "")</f>
        <v/>
      </c>
      <c r="M78" s="39"/>
      <c r="N78" s="73" t="str">
        <f t="shared" si="37"/>
        <v/>
      </c>
      <c r="O78" s="136" t="str">
        <f>IF(ISNUMBER(M78), $B91 * N78, "")</f>
        <v/>
      </c>
      <c r="Q78" s="275"/>
      <c r="R78" s="275"/>
      <c r="S78" s="275"/>
    </row>
    <row r="79" spans="1:19" ht="17.25" thickBot="1">
      <c r="A79" s="124" t="s">
        <v>260</v>
      </c>
      <c r="B79" s="125">
        <v>131</v>
      </c>
      <c r="C79" s="73">
        <v>1.5503876E-2</v>
      </c>
      <c r="D79" s="125"/>
      <c r="E79" s="73" t="str">
        <f t="shared" si="34"/>
        <v/>
      </c>
      <c r="F79" s="136" t="str">
        <f>IF(ISNUMBER(D79), $B91 * E79, "")</f>
        <v/>
      </c>
      <c r="G79" s="39"/>
      <c r="H79" s="73" t="str">
        <f t="shared" si="35"/>
        <v/>
      </c>
      <c r="I79" s="202" t="str">
        <f>IF(ISNUMBER(G79), $B91 * H79, "")</f>
        <v/>
      </c>
      <c r="J79" s="125"/>
      <c r="K79" s="73" t="str">
        <f t="shared" si="36"/>
        <v/>
      </c>
      <c r="L79" s="136" t="str">
        <f>IF(ISNUMBER(J79), $B91 * K79, "")</f>
        <v/>
      </c>
      <c r="M79" s="39"/>
      <c r="N79" s="73" t="str">
        <f t="shared" si="37"/>
        <v/>
      </c>
      <c r="O79" s="136" t="str">
        <f>IF(ISNUMBER(M79), $B91 * N79, "")</f>
        <v/>
      </c>
      <c r="Q79" s="33"/>
      <c r="R79" s="33"/>
    </row>
    <row r="80" spans="1:19" ht="17.25" thickBot="1">
      <c r="A80" s="129" t="s">
        <v>57</v>
      </c>
      <c r="B80" s="130">
        <v>395</v>
      </c>
      <c r="C80" s="75">
        <v>0</v>
      </c>
      <c r="D80" s="130"/>
      <c r="E80" s="75" t="str">
        <f t="shared" si="34"/>
        <v/>
      </c>
      <c r="F80" s="137" t="str">
        <f>IF(ISNUMBER(D80), $B91 * E80, "")</f>
        <v/>
      </c>
      <c r="G80" s="37"/>
      <c r="H80" s="75" t="str">
        <f t="shared" si="35"/>
        <v/>
      </c>
      <c r="I80" s="207" t="str">
        <f>IF(ISNUMBER(G80), $B91 * H80, "")</f>
        <v/>
      </c>
      <c r="J80" s="130"/>
      <c r="K80" s="75" t="str">
        <f t="shared" si="36"/>
        <v/>
      </c>
      <c r="L80" s="137" t="str">
        <f>IF(ISNUMBER(J80), $B91 * K80, "")</f>
        <v/>
      </c>
      <c r="M80" s="37"/>
      <c r="N80" s="75" t="str">
        <f t="shared" si="37"/>
        <v/>
      </c>
      <c r="O80" s="137" t="str">
        <f>IF(ISNUMBER(M80), $B91 * N80, "")</f>
        <v/>
      </c>
      <c r="Q80" s="284"/>
      <c r="R80" s="285"/>
      <c r="S80" s="286"/>
    </row>
    <row r="81" spans="1:19">
      <c r="A81" s="122" t="s">
        <v>156</v>
      </c>
      <c r="B81" s="123">
        <v>154</v>
      </c>
      <c r="C81" s="72">
        <v>0</v>
      </c>
      <c r="D81" s="123"/>
      <c r="E81" s="72" t="str">
        <f>IF(ISNUMBER(D81), (D81 - $B81) / $B81, "")</f>
        <v/>
      </c>
      <c r="F81" s="140" t="str">
        <f>IF(ISNUMBER(D81), $B91 * E81, "")</f>
        <v/>
      </c>
      <c r="G81" s="38"/>
      <c r="H81" s="72" t="str">
        <f>IF(ISNUMBER(G81), (G81 - $B81) / $B81, "")</f>
        <v/>
      </c>
      <c r="I81" s="201" t="str">
        <f>IF(ISNUMBER(G81), $B91 * H81, "")</f>
        <v/>
      </c>
      <c r="J81" s="123"/>
      <c r="K81" s="72" t="str">
        <f>IF(ISNUMBER(J81), (J81 - $B81) / $B81, "")</f>
        <v/>
      </c>
      <c r="L81" s="140" t="str">
        <f>IF(ISNUMBER(J81), $B91 * K81, "")</f>
        <v/>
      </c>
      <c r="M81" s="38"/>
      <c r="N81" s="72" t="str">
        <f>IF(ISNUMBER(M81), (M81 - $B81) / $B81, "")</f>
        <v/>
      </c>
      <c r="O81" s="140" t="str">
        <f>IF(ISNUMBER(M81), $B91 * N81, "")</f>
        <v/>
      </c>
      <c r="Q81" s="287"/>
      <c r="R81" s="288"/>
      <c r="S81" s="289"/>
    </row>
    <row r="82" spans="1:19" ht="17.25" thickBot="1">
      <c r="A82" s="124" t="s">
        <v>282</v>
      </c>
      <c r="B82" s="125">
        <v>151</v>
      </c>
      <c r="C82" s="73">
        <v>0</v>
      </c>
      <c r="D82" s="125"/>
      <c r="E82" s="73" t="str">
        <f t="shared" ref="E82:E85" si="38">IF(ISNUMBER(D82), (D82 - $B82) / $B82, "")</f>
        <v/>
      </c>
      <c r="F82" s="136" t="str">
        <f>IF(ISNUMBER(D82), $B91 * E82, "")</f>
        <v/>
      </c>
      <c r="G82" s="39"/>
      <c r="H82" s="73" t="str">
        <f t="shared" ref="H82:H85" si="39">IF(ISNUMBER(G82), (G82 - $B82) / $B82, "")</f>
        <v/>
      </c>
      <c r="I82" s="202" t="str">
        <f>IF(ISNUMBER(G82), $B91 * H82, "")</f>
        <v/>
      </c>
      <c r="J82" s="125"/>
      <c r="K82" s="73" t="str">
        <f t="shared" ref="K82:K85" si="40">IF(ISNUMBER(J82), (J82 - $B82) / $B82, "")</f>
        <v/>
      </c>
      <c r="L82" s="136" t="str">
        <f>IF(ISNUMBER(J82), $B91 * K82, "")</f>
        <v/>
      </c>
      <c r="M82" s="39"/>
      <c r="N82" s="73" t="str">
        <f t="shared" ref="N82:N85" si="41">IF(ISNUMBER(M82), (M82 - $B82) / $B82, "")</f>
        <v/>
      </c>
      <c r="O82" s="136" t="str">
        <f>IF(ISNUMBER(M82), $B91 * N82, "")</f>
        <v/>
      </c>
      <c r="Q82" s="290"/>
      <c r="R82" s="291"/>
      <c r="S82" s="292"/>
    </row>
    <row r="83" spans="1:19" ht="17.25" thickBot="1">
      <c r="A83" s="124" t="s">
        <v>216</v>
      </c>
      <c r="B83" s="125">
        <v>438</v>
      </c>
      <c r="C83" s="73">
        <v>-1.12866817E-2</v>
      </c>
      <c r="D83" s="125"/>
      <c r="E83" s="73" t="str">
        <f t="shared" si="38"/>
        <v/>
      </c>
      <c r="F83" s="136" t="str">
        <f>IF(ISNUMBER(D83), $B91 * E83, "")</f>
        <v/>
      </c>
      <c r="G83" s="39"/>
      <c r="H83" s="73" t="str">
        <f t="shared" si="39"/>
        <v/>
      </c>
      <c r="I83" s="202" t="str">
        <f>IF(ISNUMBER(G83), $B91 * H83, "")</f>
        <v/>
      </c>
      <c r="J83" s="125"/>
      <c r="K83" s="73" t="str">
        <f t="shared" si="40"/>
        <v/>
      </c>
      <c r="L83" s="136" t="str">
        <f>IF(ISNUMBER(J83), $B91 * K83, "")</f>
        <v/>
      </c>
      <c r="M83" s="39"/>
      <c r="N83" s="73" t="str">
        <f t="shared" si="41"/>
        <v/>
      </c>
      <c r="O83" s="136" t="str">
        <f>IF(ISNUMBER(M83), $B91 * N83, "")</f>
        <v/>
      </c>
      <c r="Q83" s="275"/>
      <c r="R83" s="275"/>
      <c r="S83" s="275"/>
    </row>
    <row r="84" spans="1:19" ht="17.25" thickBot="1">
      <c r="A84" s="124" t="s">
        <v>238</v>
      </c>
      <c r="B84" s="125">
        <v>243</v>
      </c>
      <c r="C84" s="73">
        <v>-1.2195121999999999E-2</v>
      </c>
      <c r="D84" s="125"/>
      <c r="E84" s="73" t="str">
        <f t="shared" si="38"/>
        <v/>
      </c>
      <c r="F84" s="136" t="str">
        <f>IF(ISNUMBER(D84), $B91 * E84, "")</f>
        <v/>
      </c>
      <c r="G84" s="39"/>
      <c r="H84" s="73" t="str">
        <f t="shared" si="39"/>
        <v/>
      </c>
      <c r="I84" s="202" t="str">
        <f>IF(ISNUMBER(G84), $B91 * H84, "")</f>
        <v/>
      </c>
      <c r="J84" s="125"/>
      <c r="K84" s="73" t="str">
        <f t="shared" si="40"/>
        <v/>
      </c>
      <c r="L84" s="136" t="str">
        <f>IF(ISNUMBER(J84), $B91 * K84, "")</f>
        <v/>
      </c>
      <c r="M84" s="39"/>
      <c r="N84" s="73" t="str">
        <f t="shared" si="41"/>
        <v/>
      </c>
      <c r="O84" s="136" t="str">
        <f>IF(ISNUMBER(M84), $B91 * N84, "")</f>
        <v/>
      </c>
      <c r="Q84" s="270"/>
      <c r="R84" s="270"/>
      <c r="S84" s="270"/>
    </row>
    <row r="85" spans="1:19" ht="17.25" thickBot="1">
      <c r="A85" s="126" t="s">
        <v>232</v>
      </c>
      <c r="B85" s="127">
        <v>151</v>
      </c>
      <c r="C85" s="74">
        <v>-1.30718954E-2</v>
      </c>
      <c r="D85" s="127"/>
      <c r="E85" s="74" t="str">
        <f t="shared" si="38"/>
        <v/>
      </c>
      <c r="F85" s="203" t="str">
        <f>IF(ISNUMBER(D85), $B91 * E85, "")</f>
        <v/>
      </c>
      <c r="G85" s="44"/>
      <c r="H85" s="74" t="str">
        <f t="shared" si="39"/>
        <v/>
      </c>
      <c r="I85" s="204" t="str">
        <f>IF(ISNUMBER(G85), $B91 * H85, "")</f>
        <v/>
      </c>
      <c r="J85" s="127"/>
      <c r="K85" s="74" t="str">
        <f t="shared" si="40"/>
        <v/>
      </c>
      <c r="L85" s="203" t="str">
        <f>IF(ISNUMBER(J85), $B91 * K85, "")</f>
        <v/>
      </c>
      <c r="M85" s="44"/>
      <c r="N85" s="74" t="str">
        <f t="shared" si="41"/>
        <v/>
      </c>
      <c r="O85" s="203" t="str">
        <f>IF(ISNUMBER(M85), $B91 * N85, "")</f>
        <v/>
      </c>
      <c r="Q85" s="270"/>
      <c r="R85" s="270"/>
      <c r="S85" s="270"/>
    </row>
    <row r="86" spans="1:19" ht="17.25" thickBot="1">
      <c r="A86" s="124" t="s">
        <v>278</v>
      </c>
      <c r="B86" s="128">
        <v>139</v>
      </c>
      <c r="C86" s="76">
        <v>-1.4184397200000001E-2</v>
      </c>
      <c r="D86" s="128"/>
      <c r="E86" s="76" t="str">
        <f>IF(ISNUMBER(D86), (D86 - $B86) / $B86, "")</f>
        <v/>
      </c>
      <c r="F86" s="205" t="str">
        <f>IF(ISNUMBER(D86), $B91 * E86, "")</f>
        <v/>
      </c>
      <c r="G86" s="45"/>
      <c r="H86" s="76" t="str">
        <f>IF(ISNUMBER(G86), (G86 - $B86) / $B86, "")</f>
        <v/>
      </c>
      <c r="I86" s="206" t="str">
        <f>IF(ISNUMBER(G86), $B91 * H86, "")</f>
        <v/>
      </c>
      <c r="J86" s="128"/>
      <c r="K86" s="76" t="str">
        <f>IF(ISNUMBER(J86), (J86 - $B86) / $B86, "")</f>
        <v/>
      </c>
      <c r="L86" s="205" t="str">
        <f>IF(ISNUMBER(J86), $B91 * K86, "")</f>
        <v/>
      </c>
      <c r="M86" s="45"/>
      <c r="N86" s="76" t="str">
        <f>IF(ISNUMBER(M86), (M86 - $B86) / $B86, "")</f>
        <v/>
      </c>
      <c r="O86" s="205" t="str">
        <f>IF(ISNUMBER(M86), $B91 * N86, "")</f>
        <v/>
      </c>
      <c r="Q86" s="275"/>
      <c r="R86" s="275"/>
      <c r="S86" s="275"/>
    </row>
    <row r="87" spans="1:19" ht="17.25" thickBot="1">
      <c r="A87" s="124" t="s">
        <v>120</v>
      </c>
      <c r="B87" s="125">
        <v>199</v>
      </c>
      <c r="C87" s="73">
        <v>-1.97044335E-2</v>
      </c>
      <c r="D87" s="125"/>
      <c r="E87" s="73" t="str">
        <f t="shared" ref="E87:E90" si="42">IF(ISNUMBER(D87), (D87 - $B87) / $B87, "")</f>
        <v/>
      </c>
      <c r="F87" s="136" t="str">
        <f>IF(ISNUMBER(D87), $B91 * E87, "")</f>
        <v/>
      </c>
      <c r="G87" s="39"/>
      <c r="H87" s="73" t="str">
        <f t="shared" ref="H87:H90" si="43">IF(ISNUMBER(G87), (G87 - $B87) / $B87, "")</f>
        <v/>
      </c>
      <c r="I87" s="202" t="str">
        <f>IF(ISNUMBER(G87), $B91 * H87, "")</f>
        <v/>
      </c>
      <c r="J87" s="125"/>
      <c r="K87" s="73" t="str">
        <f t="shared" ref="K87:K90" si="44">IF(ISNUMBER(J87), (J87 - $B87) / $B87, "")</f>
        <v/>
      </c>
      <c r="L87" s="136" t="str">
        <f>IF(ISNUMBER(J87), $B91 * K87, "")</f>
        <v/>
      </c>
      <c r="M87" s="39"/>
      <c r="N87" s="73" t="str">
        <f t="shared" ref="N87:N90" si="45">IF(ISNUMBER(M87), (M87 - $B87) / $B87, "")</f>
        <v/>
      </c>
      <c r="O87" s="136" t="str">
        <f>IF(ISNUMBER(M87), $B91 * N87, "")</f>
        <v/>
      </c>
      <c r="Q87" s="275"/>
      <c r="R87" s="275"/>
      <c r="S87" s="275"/>
    </row>
    <row r="88" spans="1:19" ht="17.25" thickBot="1">
      <c r="A88" s="124" t="s">
        <v>128</v>
      </c>
      <c r="B88" s="125">
        <v>585</v>
      </c>
      <c r="C88" s="73">
        <v>-2.1739130400000001E-2</v>
      </c>
      <c r="D88" s="125"/>
      <c r="E88" s="73" t="str">
        <f t="shared" si="42"/>
        <v/>
      </c>
      <c r="F88" s="136" t="str">
        <f>IF(ISNUMBER(D88), $B91 * E88, "")</f>
        <v/>
      </c>
      <c r="G88" s="39"/>
      <c r="H88" s="73" t="str">
        <f t="shared" si="43"/>
        <v/>
      </c>
      <c r="I88" s="202" t="str">
        <f>IF(ISNUMBER(G88), $B91 * H88, "")</f>
        <v/>
      </c>
      <c r="J88" s="125"/>
      <c r="K88" s="73" t="str">
        <f t="shared" si="44"/>
        <v/>
      </c>
      <c r="L88" s="136" t="str">
        <f>IF(ISNUMBER(J88), $B91 * K88, "")</f>
        <v/>
      </c>
      <c r="M88" s="39"/>
      <c r="N88" s="73" t="str">
        <f t="shared" si="45"/>
        <v/>
      </c>
      <c r="O88" s="136" t="str">
        <f>IF(ISNUMBER(M88), $B91 * N88, "")</f>
        <v/>
      </c>
      <c r="Q88" s="275"/>
      <c r="R88" s="275"/>
      <c r="S88" s="275"/>
    </row>
    <row r="89" spans="1:19">
      <c r="A89" s="124" t="s">
        <v>250</v>
      </c>
      <c r="B89" s="125">
        <v>177</v>
      </c>
      <c r="C89" s="73">
        <v>-2.2099447500000001E-2</v>
      </c>
      <c r="D89" s="125"/>
      <c r="E89" s="73" t="str">
        <f t="shared" si="42"/>
        <v/>
      </c>
      <c r="F89" s="136" t="str">
        <f>IF(ISNUMBER(D89), $B91 * E89, "")</f>
        <v/>
      </c>
      <c r="G89" s="39"/>
      <c r="H89" s="73" t="str">
        <f t="shared" si="43"/>
        <v/>
      </c>
      <c r="I89" s="202" t="str">
        <f>IF(ISNUMBER(G89), $B91 * H89, "")</f>
        <v/>
      </c>
      <c r="J89" s="125"/>
      <c r="K89" s="73" t="str">
        <f t="shared" si="44"/>
        <v/>
      </c>
      <c r="L89" s="136" t="str">
        <f>IF(ISNUMBER(J89), $B91 * K89, "")</f>
        <v/>
      </c>
      <c r="M89" s="39"/>
      <c r="N89" s="73" t="str">
        <f t="shared" si="45"/>
        <v/>
      </c>
      <c r="O89" s="136" t="str">
        <f>IF(ISNUMBER(M89), $B91 * N89, "")</f>
        <v/>
      </c>
      <c r="Q89" s="297"/>
      <c r="R89" s="298"/>
      <c r="S89" s="299"/>
    </row>
    <row r="90" spans="1:19" ht="17.25" thickBot="1">
      <c r="A90" s="129" t="s">
        <v>200</v>
      </c>
      <c r="B90" s="130">
        <v>305</v>
      </c>
      <c r="C90" s="75">
        <v>-2.5559105400000001E-2</v>
      </c>
      <c r="D90" s="130"/>
      <c r="E90" s="75" t="str">
        <f t="shared" si="42"/>
        <v/>
      </c>
      <c r="F90" s="137" t="str">
        <f>IF(ISNUMBER(D90), $B91 * E90, "")</f>
        <v/>
      </c>
      <c r="G90" s="37"/>
      <c r="H90" s="75" t="str">
        <f t="shared" si="43"/>
        <v/>
      </c>
      <c r="I90" s="207" t="str">
        <f>IF(ISNUMBER(G90), $B91 * H90, "")</f>
        <v/>
      </c>
      <c r="J90" s="130"/>
      <c r="K90" s="75" t="str">
        <f t="shared" si="44"/>
        <v/>
      </c>
      <c r="L90" s="137" t="str">
        <f>IF(ISNUMBER(J90), $B91 * K90, "")</f>
        <v/>
      </c>
      <c r="M90" s="37"/>
      <c r="N90" s="75" t="str">
        <f t="shared" si="45"/>
        <v/>
      </c>
      <c r="O90" s="137" t="str">
        <f>IF(ISNUMBER(M90), $B91 * N90, "")</f>
        <v/>
      </c>
      <c r="Q90" s="300"/>
      <c r="R90" s="301"/>
      <c r="S90" s="302"/>
    </row>
    <row r="91" spans="1:19" ht="17.25" thickBot="1">
      <c r="A91" s="131" t="s">
        <v>301</v>
      </c>
      <c r="B91" s="308">
        <f>$B$37</f>
        <v>150000</v>
      </c>
      <c r="C91" s="309"/>
      <c r="D91" s="131" t="s">
        <v>302</v>
      </c>
      <c r="E91" s="244">
        <f>IF(COUNT(E71:E90), SUM(E71:E90) / COUNT(E71:E90), 0)</f>
        <v>0</v>
      </c>
      <c r="F91" s="208">
        <f>SUM(F71:F90)</f>
        <v>0</v>
      </c>
      <c r="G91" s="131" t="s">
        <v>302</v>
      </c>
      <c r="H91" s="244">
        <f>IF(COUNT(H71:H90), SUM(H71:H90) / COUNT(H71:H90), 0)</f>
        <v>0</v>
      </c>
      <c r="I91" s="208">
        <f>SUM(I71:I90)</f>
        <v>0</v>
      </c>
      <c r="J91" s="131" t="s">
        <v>302</v>
      </c>
      <c r="K91" s="244">
        <f>IF(COUNT(K71:K90), SUM(K71:K90) / COUNT(K71:K90), 0)</f>
        <v>0</v>
      </c>
      <c r="L91" s="208">
        <f>SUM(L71:L90)</f>
        <v>0</v>
      </c>
      <c r="M91" s="131" t="s">
        <v>302</v>
      </c>
      <c r="N91" s="244">
        <f>IF(COUNT(N71:N90), SUM(N71:N90) / COUNT(N71:N90), 0)</f>
        <v>0</v>
      </c>
      <c r="O91" s="208">
        <f>SUM(O71:O90)</f>
        <v>0</v>
      </c>
      <c r="Q91" s="303"/>
      <c r="R91" s="304"/>
      <c r="S91" s="305"/>
    </row>
    <row r="93" spans="1:19" ht="17.25" thickBot="1"/>
    <row r="94" spans="1:19" ht="17.25" thickBot="1">
      <c r="A94" s="249" t="s">
        <v>46</v>
      </c>
      <c r="B94" s="250"/>
      <c r="C94" s="250"/>
      <c r="D94" s="250"/>
      <c r="E94" s="250"/>
      <c r="F94" s="250"/>
      <c r="G94" s="250"/>
      <c r="H94" s="250"/>
      <c r="I94" s="250"/>
      <c r="J94" s="250"/>
      <c r="K94" s="250"/>
      <c r="L94" s="250"/>
      <c r="M94" s="250"/>
      <c r="N94" s="250"/>
      <c r="O94" s="251"/>
      <c r="Q94" s="270"/>
      <c r="R94" s="270"/>
      <c r="S94" s="270"/>
    </row>
    <row r="95" spans="1:19" ht="17.25" thickBot="1">
      <c r="A95" s="241" t="s">
        <v>298</v>
      </c>
      <c r="B95" s="249" t="s">
        <v>49</v>
      </c>
      <c r="C95" s="251"/>
      <c r="D95" s="249" t="s">
        <v>58</v>
      </c>
      <c r="E95" s="250"/>
      <c r="F95" s="251"/>
      <c r="G95" s="276">
        <f>_xlfn.IFNA(VLOOKUP(B95, 현재가테이블!$B$2:$D$200, 2, FALSE), "-")</f>
        <v>60874000</v>
      </c>
      <c r="H95" s="277"/>
      <c r="I95" s="278"/>
      <c r="J95" s="249" t="s">
        <v>59</v>
      </c>
      <c r="K95" s="250"/>
      <c r="L95" s="251"/>
      <c r="M95" s="279">
        <f>_xlfn.IFNA(VLOOKUP(B95, 현재가테이블!$B$2:$D$200, 3, FALSE), "-")</f>
        <v>-1.4936000099999999E-2</v>
      </c>
      <c r="N95" s="280"/>
      <c r="O95" s="281"/>
      <c r="Q95" s="270"/>
      <c r="R95" s="270"/>
      <c r="S95" s="270"/>
    </row>
    <row r="96" spans="1:19" ht="17.25" thickBot="1">
      <c r="A96" s="310" t="s">
        <v>55</v>
      </c>
      <c r="B96" s="312" t="str">
        <f>TEXT($G$1, "[$-ko-KR]yyyy-mm-dd(ddd) ") &amp; "오전 00:00"</f>
        <v>2021-05-16(일) 오전 00:00</v>
      </c>
      <c r="C96" s="313"/>
      <c r="D96" s="249" t="str">
        <f>TEXT($G$1, "[$-ko-KR]yyyy-mm-dd(ddd) ") &amp; "오후 14:00"</f>
        <v>2021-05-16(일) 오후 14:00</v>
      </c>
      <c r="E96" s="250"/>
      <c r="F96" s="251"/>
      <c r="G96" s="249" t="str">
        <f>TEXT($G$1, "[$-ko-KR]yyyy-mm-dd(ddd) ") &amp; "오후 19:00"</f>
        <v>2021-05-16(일) 오후 19:00</v>
      </c>
      <c r="H96" s="250"/>
      <c r="I96" s="251"/>
      <c r="J96" s="249" t="str">
        <f>TEXT($G$1, "[$-ko-KR]yyyy-mm-dd(ddd) ") &amp; "오후 21:00"</f>
        <v>2021-05-16(일) 오후 21:00</v>
      </c>
      <c r="K96" s="250"/>
      <c r="L96" s="251"/>
      <c r="M96" s="249" t="str">
        <f>TEXT($G$1+1, "[$-ko-KR]yyyy-mm-dd(ddd) ") &amp; "오전 00:00"</f>
        <v>2021-05-17(월) 오전 00:00</v>
      </c>
      <c r="N96" s="250"/>
      <c r="O96" s="251"/>
      <c r="Q96" s="270"/>
      <c r="R96" s="270"/>
      <c r="S96" s="270"/>
    </row>
    <row r="97" spans="1:19" ht="17.25" thickBot="1">
      <c r="A97" s="311"/>
      <c r="B97" s="120" t="s">
        <v>58</v>
      </c>
      <c r="C97" s="121" t="s">
        <v>59</v>
      </c>
      <c r="D97" s="120" t="s">
        <v>58</v>
      </c>
      <c r="E97" s="121" t="s">
        <v>299</v>
      </c>
      <c r="F97" s="248" t="s">
        <v>300</v>
      </c>
      <c r="G97" s="241" t="s">
        <v>58</v>
      </c>
      <c r="H97" s="242" t="s">
        <v>299</v>
      </c>
      <c r="I97" s="243" t="s">
        <v>300</v>
      </c>
      <c r="J97" s="121" t="s">
        <v>58</v>
      </c>
      <c r="K97" s="121" t="s">
        <v>299</v>
      </c>
      <c r="L97" s="246" t="s">
        <v>300</v>
      </c>
      <c r="M97" s="120" t="s">
        <v>58</v>
      </c>
      <c r="N97" s="121" t="s">
        <v>299</v>
      </c>
      <c r="O97" s="247" t="s">
        <v>300</v>
      </c>
      <c r="Q97" s="275"/>
      <c r="R97" s="275"/>
      <c r="S97" s="275"/>
    </row>
    <row r="98" spans="1:19" ht="17.25" thickBot="1">
      <c r="A98" s="122" t="s">
        <v>84</v>
      </c>
      <c r="B98" s="123">
        <v>2810</v>
      </c>
      <c r="C98" s="72">
        <v>0.1353535354</v>
      </c>
      <c r="D98" s="123"/>
      <c r="E98" s="72" t="str">
        <f>IF(ISNUMBER(D98), (D98 - $B98) / $B98, "")</f>
        <v/>
      </c>
      <c r="F98" s="140" t="str">
        <f>IF(ISNUMBER(D98), $B118 * E98, "")</f>
        <v/>
      </c>
      <c r="G98" s="38"/>
      <c r="H98" s="72" t="str">
        <f>IF(ISNUMBER(G98), (G98 - $B98) / $B98, "")</f>
        <v/>
      </c>
      <c r="I98" s="201" t="str">
        <f>IF(ISNUMBER(G98), $B118 * H98, "")</f>
        <v/>
      </c>
      <c r="J98" s="123"/>
      <c r="K98" s="72" t="str">
        <f>IF(ISNUMBER(J98), (J98 - $B98) / $B98, "")</f>
        <v/>
      </c>
      <c r="L98" s="140" t="str">
        <f>IF(ISNUMBER(J98), $B118 * K98, "")</f>
        <v/>
      </c>
      <c r="M98" s="38"/>
      <c r="N98" s="72" t="str">
        <f>IF(ISNUMBER(M98), (M98 - $B98) / $B98, "")</f>
        <v/>
      </c>
      <c r="O98" s="140" t="str">
        <f>IF(ISNUMBER(M98), $B118 * N98, "")</f>
        <v/>
      </c>
      <c r="Q98" s="270"/>
      <c r="R98" s="270"/>
      <c r="S98" s="270"/>
    </row>
    <row r="99" spans="1:19" ht="17.25" thickBot="1">
      <c r="A99" s="124" t="s">
        <v>88</v>
      </c>
      <c r="B99" s="125">
        <v>588</v>
      </c>
      <c r="C99" s="73">
        <v>9.0909090900000003E-2</v>
      </c>
      <c r="D99" s="125"/>
      <c r="E99" s="73" t="str">
        <f t="shared" ref="E99:E102" si="46">IF(ISNUMBER(D99), (D99 - $B99) / $B99, "")</f>
        <v/>
      </c>
      <c r="F99" s="136" t="str">
        <f>IF(ISNUMBER(D99), $B118 * E99, "")</f>
        <v/>
      </c>
      <c r="G99" s="39"/>
      <c r="H99" s="73" t="str">
        <f t="shared" ref="H99:H102" si="47">IF(ISNUMBER(G99), (G99 - $B99) / $B99, "")</f>
        <v/>
      </c>
      <c r="I99" s="202" t="str">
        <f>IF(ISNUMBER(G99), $B118 * H99, "")</f>
        <v/>
      </c>
      <c r="J99" s="125"/>
      <c r="K99" s="73" t="str">
        <f t="shared" ref="K99:K102" si="48">IF(ISNUMBER(J99), (J99 - $B99) / $B99, "")</f>
        <v/>
      </c>
      <c r="L99" s="136" t="str">
        <f>IF(ISNUMBER(J99), $B118 * K99, "")</f>
        <v/>
      </c>
      <c r="M99" s="39"/>
      <c r="N99" s="73" t="str">
        <f t="shared" ref="N99:N102" si="49">IF(ISNUMBER(M99), (M99 - $B99) / $B99, "")</f>
        <v/>
      </c>
      <c r="O99" s="136" t="str">
        <f>IF(ISNUMBER(M99), $B118 * N99, "")</f>
        <v/>
      </c>
      <c r="Q99" s="270"/>
      <c r="R99" s="270"/>
      <c r="S99" s="270"/>
    </row>
    <row r="100" spans="1:19" ht="17.25" thickBot="1">
      <c r="A100" s="124" t="s">
        <v>116</v>
      </c>
      <c r="B100" s="125">
        <v>588</v>
      </c>
      <c r="C100" s="73">
        <v>8.2872928200000001E-2</v>
      </c>
      <c r="D100" s="125"/>
      <c r="E100" s="73" t="str">
        <f t="shared" si="46"/>
        <v/>
      </c>
      <c r="F100" s="136" t="str">
        <f>IF(ISNUMBER(D100), $B118 * E100, "")</f>
        <v/>
      </c>
      <c r="G100" s="39"/>
      <c r="H100" s="73" t="str">
        <f t="shared" si="47"/>
        <v/>
      </c>
      <c r="I100" s="202" t="str">
        <f>IF(ISNUMBER(G100), $B118 * H100, "")</f>
        <v/>
      </c>
      <c r="J100" s="125"/>
      <c r="K100" s="73" t="str">
        <f t="shared" si="48"/>
        <v/>
      </c>
      <c r="L100" s="136" t="str">
        <f>IF(ISNUMBER(J100), $B118 * K100, "")</f>
        <v/>
      </c>
      <c r="M100" s="39"/>
      <c r="N100" s="73" t="str">
        <f t="shared" si="49"/>
        <v/>
      </c>
      <c r="O100" s="136" t="str">
        <f>IF(ISNUMBER(M100), $B118 * N100, "")</f>
        <v/>
      </c>
      <c r="Q100" s="275"/>
      <c r="R100" s="275"/>
      <c r="S100" s="275"/>
    </row>
    <row r="101" spans="1:19" ht="17.25" thickBot="1">
      <c r="A101" s="124" t="s">
        <v>51</v>
      </c>
      <c r="B101" s="125">
        <v>888</v>
      </c>
      <c r="C101" s="73">
        <v>7.7669902900000004E-2</v>
      </c>
      <c r="D101" s="125"/>
      <c r="E101" s="73" t="str">
        <f t="shared" si="46"/>
        <v/>
      </c>
      <c r="F101" s="136" t="str">
        <f>IF(ISNUMBER(D101), $B118 * E101, "")</f>
        <v/>
      </c>
      <c r="G101" s="39"/>
      <c r="H101" s="73" t="str">
        <f t="shared" si="47"/>
        <v/>
      </c>
      <c r="I101" s="202" t="str">
        <f>IF(ISNUMBER(G101), $B118 * H101, "")</f>
        <v/>
      </c>
      <c r="J101" s="125"/>
      <c r="K101" s="73" t="str">
        <f t="shared" si="48"/>
        <v/>
      </c>
      <c r="L101" s="136" t="str">
        <f>IF(ISNUMBER(J101), $B118 * K101, "")</f>
        <v/>
      </c>
      <c r="M101" s="39"/>
      <c r="N101" s="73" t="str">
        <f t="shared" si="49"/>
        <v/>
      </c>
      <c r="O101" s="136" t="str">
        <f>IF(ISNUMBER(M101), $B118 * N101, "")</f>
        <v/>
      </c>
      <c r="Q101" s="275"/>
      <c r="R101" s="275"/>
      <c r="S101" s="275"/>
    </row>
    <row r="102" spans="1:19" ht="17.25" thickBot="1">
      <c r="A102" s="126" t="s">
        <v>74</v>
      </c>
      <c r="B102" s="127">
        <v>34130</v>
      </c>
      <c r="C102" s="74">
        <v>6.7563340599999994E-2</v>
      </c>
      <c r="D102" s="127"/>
      <c r="E102" s="74" t="str">
        <f t="shared" si="46"/>
        <v/>
      </c>
      <c r="F102" s="203" t="str">
        <f>IF(ISNUMBER(D102), $B118 * E102, "")</f>
        <v/>
      </c>
      <c r="G102" s="44"/>
      <c r="H102" s="74" t="str">
        <f t="shared" si="47"/>
        <v/>
      </c>
      <c r="I102" s="204" t="str">
        <f>IF(ISNUMBER(G102), $B118 * H102, "")</f>
        <v/>
      </c>
      <c r="J102" s="127"/>
      <c r="K102" s="74" t="str">
        <f t="shared" si="48"/>
        <v/>
      </c>
      <c r="L102" s="203" t="str">
        <f>IF(ISNUMBER(J102), $B118 * K102, "")</f>
        <v/>
      </c>
      <c r="M102" s="44"/>
      <c r="N102" s="74" t="str">
        <f t="shared" si="49"/>
        <v/>
      </c>
      <c r="O102" s="203" t="str">
        <f>IF(ISNUMBER(M102), $B118 * N102, "")</f>
        <v/>
      </c>
      <c r="Q102" s="275"/>
      <c r="R102" s="275"/>
      <c r="S102" s="275"/>
    </row>
    <row r="103" spans="1:19" ht="17.25" thickBot="1">
      <c r="A103" s="124" t="s">
        <v>92</v>
      </c>
      <c r="B103" s="128">
        <v>1835</v>
      </c>
      <c r="C103" s="76">
        <v>6.3768115900000005E-2</v>
      </c>
      <c r="D103" s="128"/>
      <c r="E103" s="76" t="str">
        <f>IF(ISNUMBER(D103), (D103 - $B103) / $B103, "")</f>
        <v/>
      </c>
      <c r="F103" s="205" t="str">
        <f>IF(ISNUMBER(D103), $B118 * E103, "")</f>
        <v/>
      </c>
      <c r="G103" s="45"/>
      <c r="H103" s="76" t="str">
        <f>IF(ISNUMBER(G103), (G103 - $B103) / $B103, "")</f>
        <v/>
      </c>
      <c r="I103" s="206" t="str">
        <f>IF(ISNUMBER(G103), $B118 * H103, "")</f>
        <v/>
      </c>
      <c r="J103" s="128"/>
      <c r="K103" s="76" t="str">
        <f>IF(ISNUMBER(J103), (J103 - $B103) / $B103, "")</f>
        <v/>
      </c>
      <c r="L103" s="205" t="str">
        <f>IF(ISNUMBER(J103), $B118 * K103, "")</f>
        <v/>
      </c>
      <c r="M103" s="45"/>
      <c r="N103" s="76" t="str">
        <f>IF(ISNUMBER(M103), (M103 - $B103) / $B103, "")</f>
        <v/>
      </c>
      <c r="O103" s="205" t="str">
        <f>IF(ISNUMBER(M103), $B118 * N103, "")</f>
        <v/>
      </c>
      <c r="Q103" s="275"/>
      <c r="R103" s="275"/>
      <c r="S103" s="275"/>
    </row>
    <row r="104" spans="1:19" ht="17.25" thickBot="1">
      <c r="A104" s="124" t="s">
        <v>246</v>
      </c>
      <c r="B104" s="125">
        <v>346</v>
      </c>
      <c r="C104" s="73">
        <v>5.4878048800000002E-2</v>
      </c>
      <c r="D104" s="125"/>
      <c r="E104" s="73" t="str">
        <f t="shared" ref="E104:E107" si="50">IF(ISNUMBER(D104), (D104 - $B104) / $B104, "")</f>
        <v/>
      </c>
      <c r="F104" s="136" t="str">
        <f>IF(ISNUMBER(D104), $B118 * E104, "")</f>
        <v/>
      </c>
      <c r="G104" s="39"/>
      <c r="H104" s="73" t="str">
        <f t="shared" ref="H104:H107" si="51">IF(ISNUMBER(G104), (G104 - $B104) / $B104, "")</f>
        <v/>
      </c>
      <c r="I104" s="202" t="str">
        <f>IF(ISNUMBER(G104), $B118 * H104, "")</f>
        <v/>
      </c>
      <c r="J104" s="125"/>
      <c r="K104" s="73" t="str">
        <f t="shared" ref="K104:K107" si="52">IF(ISNUMBER(J104), (J104 - $B104) / $B104, "")</f>
        <v/>
      </c>
      <c r="L104" s="136" t="str">
        <f>IF(ISNUMBER(J104), $B118 * K104, "")</f>
        <v/>
      </c>
      <c r="M104" s="39"/>
      <c r="N104" s="73" t="str">
        <f t="shared" ref="N104:N107" si="53">IF(ISNUMBER(M104), (M104 - $B104) / $B104, "")</f>
        <v/>
      </c>
      <c r="O104" s="136" t="str">
        <f>IF(ISNUMBER(M104), $B118 * N104, "")</f>
        <v/>
      </c>
      <c r="Q104" s="275"/>
      <c r="R104" s="275"/>
      <c r="S104" s="275"/>
    </row>
    <row r="105" spans="1:19" ht="17.25" thickBot="1">
      <c r="A105" s="124" t="s">
        <v>168</v>
      </c>
      <c r="B105" s="125">
        <v>211</v>
      </c>
      <c r="C105" s="73">
        <v>4.4554455399999998E-2</v>
      </c>
      <c r="D105" s="125"/>
      <c r="E105" s="73" t="str">
        <f t="shared" si="50"/>
        <v/>
      </c>
      <c r="F105" s="136" t="str">
        <f>IF(ISNUMBER(D105), $B118 * E105, "")</f>
        <v/>
      </c>
      <c r="G105" s="39"/>
      <c r="H105" s="73" t="str">
        <f t="shared" si="51"/>
        <v/>
      </c>
      <c r="I105" s="202" t="str">
        <f>IF(ISNUMBER(G105), $B118 * H105, "")</f>
        <v/>
      </c>
      <c r="J105" s="125"/>
      <c r="K105" s="73" t="str">
        <f t="shared" si="52"/>
        <v/>
      </c>
      <c r="L105" s="136" t="str">
        <f>IF(ISNUMBER(J105), $B118 * K105, "")</f>
        <v/>
      </c>
      <c r="M105" s="39"/>
      <c r="N105" s="73" t="str">
        <f t="shared" si="53"/>
        <v/>
      </c>
      <c r="O105" s="136" t="str">
        <f>IF(ISNUMBER(M105), $B118 * N105, "")</f>
        <v/>
      </c>
      <c r="Q105" s="275"/>
      <c r="R105" s="275"/>
      <c r="S105" s="275"/>
    </row>
    <row r="106" spans="1:19" ht="17.25" thickBot="1">
      <c r="A106" s="124" t="s">
        <v>230</v>
      </c>
      <c r="B106" s="125">
        <v>155</v>
      </c>
      <c r="C106" s="73">
        <v>4.0268456399999999E-2</v>
      </c>
      <c r="D106" s="125"/>
      <c r="E106" s="73" t="str">
        <f t="shared" si="50"/>
        <v/>
      </c>
      <c r="F106" s="136" t="str">
        <f>IF(ISNUMBER(D106), $B118 * E106, "")</f>
        <v/>
      </c>
      <c r="G106" s="39"/>
      <c r="H106" s="73" t="str">
        <f t="shared" si="51"/>
        <v/>
      </c>
      <c r="I106" s="202" t="str">
        <f>IF(ISNUMBER(G106), $B118 * H106, "")</f>
        <v/>
      </c>
      <c r="J106" s="125"/>
      <c r="K106" s="73" t="str">
        <f t="shared" si="52"/>
        <v/>
      </c>
      <c r="L106" s="136" t="str">
        <f>IF(ISNUMBER(J106), $B118 * K106, "")</f>
        <v/>
      </c>
      <c r="M106" s="39"/>
      <c r="N106" s="73" t="str">
        <f t="shared" si="53"/>
        <v/>
      </c>
      <c r="O106" s="136" t="str">
        <f>IF(ISNUMBER(M106), $B118 * N106, "")</f>
        <v/>
      </c>
      <c r="Q106" s="33"/>
      <c r="R106" s="33"/>
    </row>
    <row r="107" spans="1:19" ht="17.25" thickBot="1">
      <c r="A107" s="129" t="s">
        <v>86</v>
      </c>
      <c r="B107" s="130">
        <v>14240</v>
      </c>
      <c r="C107" s="75">
        <v>3.0390738099999998E-2</v>
      </c>
      <c r="D107" s="130"/>
      <c r="E107" s="75" t="str">
        <f t="shared" si="50"/>
        <v/>
      </c>
      <c r="F107" s="137" t="str">
        <f>IF(ISNUMBER(D107), $B118 * E107, "")</f>
        <v/>
      </c>
      <c r="G107" s="37"/>
      <c r="H107" s="75" t="str">
        <f t="shared" si="51"/>
        <v/>
      </c>
      <c r="I107" s="207" t="str">
        <f>IF(ISNUMBER(G107), $B118 * H107, "")</f>
        <v/>
      </c>
      <c r="J107" s="130"/>
      <c r="K107" s="75" t="str">
        <f t="shared" si="52"/>
        <v/>
      </c>
      <c r="L107" s="137" t="str">
        <f>IF(ISNUMBER(J107), $B118 * K107, "")</f>
        <v/>
      </c>
      <c r="M107" s="37"/>
      <c r="N107" s="75" t="str">
        <f t="shared" si="53"/>
        <v/>
      </c>
      <c r="O107" s="137" t="str">
        <f>IF(ISNUMBER(M107), $B118 * N107, "")</f>
        <v/>
      </c>
      <c r="Q107" s="284"/>
      <c r="R107" s="285"/>
      <c r="S107" s="286"/>
    </row>
    <row r="108" spans="1:19">
      <c r="A108" s="122" t="s">
        <v>220</v>
      </c>
      <c r="B108" s="123">
        <v>18.399999999999999</v>
      </c>
      <c r="C108" s="72">
        <v>2.2222222199999999E-2</v>
      </c>
      <c r="D108" s="123"/>
      <c r="E108" s="72" t="str">
        <f>IF(ISNUMBER(D108), (D108 - $B108) / $B108, "")</f>
        <v/>
      </c>
      <c r="F108" s="140" t="str">
        <f>IF(ISNUMBER(D108), $B118 * E108, "")</f>
        <v/>
      </c>
      <c r="G108" s="38"/>
      <c r="H108" s="72" t="str">
        <f>IF(ISNUMBER(G108), (G108 - $B108) / $B108, "")</f>
        <v/>
      </c>
      <c r="I108" s="201" t="str">
        <f>IF(ISNUMBER(G108), $B118 * H108, "")</f>
        <v/>
      </c>
      <c r="J108" s="123"/>
      <c r="K108" s="72" t="str">
        <f>IF(ISNUMBER(J108), (J108 - $B108) / $B108, "")</f>
        <v/>
      </c>
      <c r="L108" s="140" t="str">
        <f>IF(ISNUMBER(J108), $B118 * K108, "")</f>
        <v/>
      </c>
      <c r="M108" s="38"/>
      <c r="N108" s="72" t="str">
        <f>IF(ISNUMBER(M108), (M108 - $B108) / $B108, "")</f>
        <v/>
      </c>
      <c r="O108" s="140" t="str">
        <f>IF(ISNUMBER(M108), $B118 * N108, "")</f>
        <v/>
      </c>
      <c r="Q108" s="287"/>
      <c r="R108" s="288"/>
      <c r="S108" s="289"/>
    </row>
    <row r="109" spans="1:19" ht="17.25" thickBot="1">
      <c r="A109" s="124" t="s">
        <v>206</v>
      </c>
      <c r="B109" s="125">
        <v>31500</v>
      </c>
      <c r="C109" s="73">
        <v>2.1732079099999999E-2</v>
      </c>
      <c r="D109" s="125"/>
      <c r="E109" s="73" t="str">
        <f t="shared" ref="E109:E112" si="54">IF(ISNUMBER(D109), (D109 - $B109) / $B109, "")</f>
        <v/>
      </c>
      <c r="F109" s="136" t="str">
        <f>IF(ISNUMBER(D109), $B118 * E109, "")</f>
        <v/>
      </c>
      <c r="G109" s="39"/>
      <c r="H109" s="73" t="str">
        <f t="shared" ref="H109:H112" si="55">IF(ISNUMBER(G109), (G109 - $B109) / $B109, "")</f>
        <v/>
      </c>
      <c r="I109" s="202" t="str">
        <f>IF(ISNUMBER(G109), $B118 * H109, "")</f>
        <v/>
      </c>
      <c r="J109" s="125"/>
      <c r="K109" s="73" t="str">
        <f t="shared" ref="K109:K112" si="56">IF(ISNUMBER(J109), (J109 - $B109) / $B109, "")</f>
        <v/>
      </c>
      <c r="L109" s="136" t="str">
        <f>IF(ISNUMBER(J109), $B118 * K109, "")</f>
        <v/>
      </c>
      <c r="M109" s="39"/>
      <c r="N109" s="73" t="str">
        <f t="shared" ref="N109:N112" si="57">IF(ISNUMBER(M109), (M109 - $B109) / $B109, "")</f>
        <v/>
      </c>
      <c r="O109" s="136" t="str">
        <f>IF(ISNUMBER(M109), $B118 * N109, "")</f>
        <v/>
      </c>
      <c r="Q109" s="290"/>
      <c r="R109" s="291"/>
      <c r="S109" s="292"/>
    </row>
    <row r="110" spans="1:19" ht="17.25" thickBot="1">
      <c r="A110" s="124" t="s">
        <v>226</v>
      </c>
      <c r="B110" s="125">
        <v>446</v>
      </c>
      <c r="C110" s="73">
        <v>2.0594965699999999E-2</v>
      </c>
      <c r="D110" s="125"/>
      <c r="E110" s="73" t="str">
        <f t="shared" si="54"/>
        <v/>
      </c>
      <c r="F110" s="136" t="str">
        <f>IF(ISNUMBER(D110), $B118 * E110, "")</f>
        <v/>
      </c>
      <c r="G110" s="39"/>
      <c r="H110" s="73" t="str">
        <f t="shared" si="55"/>
        <v/>
      </c>
      <c r="I110" s="202" t="str">
        <f>IF(ISNUMBER(G110), $B118 * H110, "")</f>
        <v/>
      </c>
      <c r="J110" s="125"/>
      <c r="K110" s="73" t="str">
        <f t="shared" si="56"/>
        <v/>
      </c>
      <c r="L110" s="136" t="str">
        <f>IF(ISNUMBER(J110), $B118 * K110, "")</f>
        <v/>
      </c>
      <c r="M110" s="39"/>
      <c r="N110" s="73" t="str">
        <f t="shared" si="57"/>
        <v/>
      </c>
      <c r="O110" s="136" t="str">
        <f>IF(ISNUMBER(M110), $B118 * N110, "")</f>
        <v/>
      </c>
      <c r="Q110" s="275"/>
      <c r="R110" s="275"/>
      <c r="S110" s="275"/>
    </row>
    <row r="111" spans="1:19" ht="17.25" thickBot="1">
      <c r="A111" s="124" t="s">
        <v>210</v>
      </c>
      <c r="B111" s="125">
        <v>171</v>
      </c>
      <c r="C111" s="73">
        <v>1.7857142900000001E-2</v>
      </c>
      <c r="D111" s="125"/>
      <c r="E111" s="73" t="str">
        <f t="shared" si="54"/>
        <v/>
      </c>
      <c r="F111" s="136" t="str">
        <f>IF(ISNUMBER(D111), $B118 * E111, "")</f>
        <v/>
      </c>
      <c r="G111" s="39"/>
      <c r="H111" s="73" t="str">
        <f t="shared" si="55"/>
        <v/>
      </c>
      <c r="I111" s="202" t="str">
        <f>IF(ISNUMBER(G111), $B118 * H111, "")</f>
        <v/>
      </c>
      <c r="J111" s="125"/>
      <c r="K111" s="73" t="str">
        <f t="shared" si="56"/>
        <v/>
      </c>
      <c r="L111" s="136" t="str">
        <f>IF(ISNUMBER(J111), $B118 * K111, "")</f>
        <v/>
      </c>
      <c r="M111" s="39"/>
      <c r="N111" s="73" t="str">
        <f t="shared" si="57"/>
        <v/>
      </c>
      <c r="O111" s="136" t="str">
        <f>IF(ISNUMBER(M111), $B118 * N111, "")</f>
        <v/>
      </c>
      <c r="Q111" s="270"/>
      <c r="R111" s="270"/>
      <c r="S111" s="270"/>
    </row>
    <row r="112" spans="1:19" ht="17.25" thickBot="1">
      <c r="A112" s="126" t="s">
        <v>260</v>
      </c>
      <c r="B112" s="127">
        <v>131</v>
      </c>
      <c r="C112" s="74">
        <v>1.5503876E-2</v>
      </c>
      <c r="D112" s="127"/>
      <c r="E112" s="74" t="str">
        <f t="shared" si="54"/>
        <v/>
      </c>
      <c r="F112" s="203" t="str">
        <f>IF(ISNUMBER(D112), $B118 * E112, "")</f>
        <v/>
      </c>
      <c r="G112" s="44"/>
      <c r="H112" s="74" t="str">
        <f t="shared" si="55"/>
        <v/>
      </c>
      <c r="I112" s="204" t="str">
        <f>IF(ISNUMBER(G112), $B118 * H112, "")</f>
        <v/>
      </c>
      <c r="J112" s="127"/>
      <c r="K112" s="74" t="str">
        <f t="shared" si="56"/>
        <v/>
      </c>
      <c r="L112" s="203" t="str">
        <f>IF(ISNUMBER(J112), $B118 * K112, "")</f>
        <v/>
      </c>
      <c r="M112" s="44"/>
      <c r="N112" s="74" t="str">
        <f t="shared" si="57"/>
        <v/>
      </c>
      <c r="O112" s="203" t="str">
        <f>IF(ISNUMBER(M112), $B118 * N112, "")</f>
        <v/>
      </c>
      <c r="Q112" s="270"/>
      <c r="R112" s="270"/>
      <c r="S112" s="270"/>
    </row>
    <row r="113" spans="1:19" ht="17.25" thickBot="1">
      <c r="A113" s="124" t="s">
        <v>126</v>
      </c>
      <c r="B113" s="128">
        <v>49.7</v>
      </c>
      <c r="C113" s="76">
        <v>2.0161290000000002E-3</v>
      </c>
      <c r="D113" s="128"/>
      <c r="E113" s="76" t="str">
        <f>IF(ISNUMBER(D113), (D113 - $B113) / $B113, "")</f>
        <v/>
      </c>
      <c r="F113" s="205" t="str">
        <f>IF(ISNUMBER(D113), $B118 * E113, "")</f>
        <v/>
      </c>
      <c r="G113" s="45"/>
      <c r="H113" s="76" t="str">
        <f>IF(ISNUMBER(G113), (G113 - $B113) / $B113, "")</f>
        <v/>
      </c>
      <c r="I113" s="206" t="str">
        <f>IF(ISNUMBER(G113), $B118 * H113, "")</f>
        <v/>
      </c>
      <c r="J113" s="128"/>
      <c r="K113" s="76" t="str">
        <f>IF(ISNUMBER(J113), (J113 - $B113) / $B113, "")</f>
        <v/>
      </c>
      <c r="L113" s="205" t="str">
        <f>IF(ISNUMBER(J113), $B118 * K113, "")</f>
        <v/>
      </c>
      <c r="M113" s="45"/>
      <c r="N113" s="76" t="str">
        <f>IF(ISNUMBER(M113), (M113 - $B113) / $B113, "")</f>
        <v/>
      </c>
      <c r="O113" s="205" t="str">
        <f>IF(ISNUMBER(M113), $B118 * N113, "")</f>
        <v/>
      </c>
      <c r="Q113" s="275"/>
      <c r="R113" s="275"/>
      <c r="S113" s="275"/>
    </row>
    <row r="114" spans="1:19" ht="17.25" thickBot="1">
      <c r="A114" s="124" t="s">
        <v>57</v>
      </c>
      <c r="B114" s="125">
        <v>395</v>
      </c>
      <c r="C114" s="73">
        <v>0</v>
      </c>
      <c r="D114" s="125"/>
      <c r="E114" s="73" t="str">
        <f t="shared" ref="E114:E117" si="58">IF(ISNUMBER(D114), (D114 - $B114) / $B114, "")</f>
        <v/>
      </c>
      <c r="F114" s="136" t="str">
        <f>IF(ISNUMBER(D114), $B118 * E114, "")</f>
        <v/>
      </c>
      <c r="G114" s="39"/>
      <c r="H114" s="73" t="str">
        <f t="shared" ref="H114:H117" si="59">IF(ISNUMBER(G114), (G114 - $B114) / $B114, "")</f>
        <v/>
      </c>
      <c r="I114" s="202" t="str">
        <f>IF(ISNUMBER(G114), $B118 * H114, "")</f>
        <v/>
      </c>
      <c r="J114" s="125"/>
      <c r="K114" s="73" t="str">
        <f t="shared" ref="K114:K117" si="60">IF(ISNUMBER(J114), (J114 - $B114) / $B114, "")</f>
        <v/>
      </c>
      <c r="L114" s="136" t="str">
        <f>IF(ISNUMBER(J114), $B118 * K114, "")</f>
        <v/>
      </c>
      <c r="M114" s="39"/>
      <c r="N114" s="73" t="str">
        <f t="shared" ref="N114:N117" si="61">IF(ISNUMBER(M114), (M114 - $B114) / $B114, "")</f>
        <v/>
      </c>
      <c r="O114" s="136" t="str">
        <f>IF(ISNUMBER(M114), $B118 * N114, "")</f>
        <v/>
      </c>
      <c r="Q114" s="275"/>
      <c r="R114" s="275"/>
      <c r="S114" s="275"/>
    </row>
    <row r="115" spans="1:19" ht="17.25" thickBot="1">
      <c r="A115" s="124" t="s">
        <v>156</v>
      </c>
      <c r="B115" s="125">
        <v>154</v>
      </c>
      <c r="C115" s="73">
        <v>0</v>
      </c>
      <c r="D115" s="125"/>
      <c r="E115" s="73" t="str">
        <f t="shared" si="58"/>
        <v/>
      </c>
      <c r="F115" s="136" t="str">
        <f>IF(ISNUMBER(D115), $B118 * E115, "")</f>
        <v/>
      </c>
      <c r="G115" s="39"/>
      <c r="H115" s="73" t="str">
        <f t="shared" si="59"/>
        <v/>
      </c>
      <c r="I115" s="202" t="str">
        <f>IF(ISNUMBER(G115), $B118 * H115, "")</f>
        <v/>
      </c>
      <c r="J115" s="125"/>
      <c r="K115" s="73" t="str">
        <f t="shared" si="60"/>
        <v/>
      </c>
      <c r="L115" s="136" t="str">
        <f>IF(ISNUMBER(J115), $B118 * K115, "")</f>
        <v/>
      </c>
      <c r="M115" s="39"/>
      <c r="N115" s="73" t="str">
        <f t="shared" si="61"/>
        <v/>
      </c>
      <c r="O115" s="136" t="str">
        <f>IF(ISNUMBER(M115), $B118 * N115, "")</f>
        <v/>
      </c>
      <c r="Q115" s="275"/>
      <c r="R115" s="275"/>
      <c r="S115" s="275"/>
    </row>
    <row r="116" spans="1:19">
      <c r="A116" s="124" t="s">
        <v>282</v>
      </c>
      <c r="B116" s="125">
        <v>151</v>
      </c>
      <c r="C116" s="73">
        <v>0</v>
      </c>
      <c r="D116" s="125"/>
      <c r="E116" s="73" t="str">
        <f t="shared" si="58"/>
        <v/>
      </c>
      <c r="F116" s="136" t="str">
        <f>IF(ISNUMBER(D116), $B118 * E116, "")</f>
        <v/>
      </c>
      <c r="G116" s="39"/>
      <c r="H116" s="73" t="str">
        <f t="shared" si="59"/>
        <v/>
      </c>
      <c r="I116" s="202" t="str">
        <f>IF(ISNUMBER(G116), $B118 * H116, "")</f>
        <v/>
      </c>
      <c r="J116" s="125"/>
      <c r="K116" s="73" t="str">
        <f t="shared" si="60"/>
        <v/>
      </c>
      <c r="L116" s="136" t="str">
        <f>IF(ISNUMBER(J116), $B118 * K116, "")</f>
        <v/>
      </c>
      <c r="M116" s="39"/>
      <c r="N116" s="73" t="str">
        <f t="shared" si="61"/>
        <v/>
      </c>
      <c r="O116" s="136" t="str">
        <f>IF(ISNUMBER(M116), $B118 * N116, "")</f>
        <v/>
      </c>
      <c r="Q116" s="297"/>
      <c r="R116" s="298"/>
      <c r="S116" s="299"/>
    </row>
    <row r="117" spans="1:19" ht="17.25" thickBot="1">
      <c r="A117" s="129" t="s">
        <v>90</v>
      </c>
      <c r="B117" s="130">
        <v>413500</v>
      </c>
      <c r="C117" s="75">
        <v>-1.2090439999999999E-4</v>
      </c>
      <c r="D117" s="130"/>
      <c r="E117" s="75" t="str">
        <f t="shared" si="58"/>
        <v/>
      </c>
      <c r="F117" s="137" t="str">
        <f>IF(ISNUMBER(D117), $B118 * E117, "")</f>
        <v/>
      </c>
      <c r="G117" s="37"/>
      <c r="H117" s="75" t="str">
        <f t="shared" si="59"/>
        <v/>
      </c>
      <c r="I117" s="207" t="str">
        <f>IF(ISNUMBER(G117), $B118 * H117, "")</f>
        <v/>
      </c>
      <c r="J117" s="130"/>
      <c r="K117" s="75" t="str">
        <f t="shared" si="60"/>
        <v/>
      </c>
      <c r="L117" s="137" t="str">
        <f>IF(ISNUMBER(J117), $B118 * K117, "")</f>
        <v/>
      </c>
      <c r="M117" s="37"/>
      <c r="N117" s="75" t="str">
        <f t="shared" si="61"/>
        <v/>
      </c>
      <c r="O117" s="137" t="str">
        <f>IF(ISNUMBER(M117), $B118 * N117, "")</f>
        <v/>
      </c>
      <c r="Q117" s="300"/>
      <c r="R117" s="301"/>
      <c r="S117" s="302"/>
    </row>
    <row r="118" spans="1:19" ht="17.25" thickBot="1">
      <c r="A118" s="131" t="s">
        <v>301</v>
      </c>
      <c r="B118" s="308">
        <f>$B$37</f>
        <v>150000</v>
      </c>
      <c r="C118" s="309"/>
      <c r="D118" s="131" t="s">
        <v>302</v>
      </c>
      <c r="E118" s="244">
        <f>IF(COUNT(E98:E117), SUM(E98:E117) / COUNT(E98:E117), 0)</f>
        <v>0</v>
      </c>
      <c r="F118" s="208">
        <f>SUM(F98:F117)</f>
        <v>0</v>
      </c>
      <c r="G118" s="131" t="s">
        <v>302</v>
      </c>
      <c r="H118" s="244">
        <f>IF(COUNT(H98:H117), SUM(H98:H117) / COUNT(H98:H117), 0)</f>
        <v>0</v>
      </c>
      <c r="I118" s="208">
        <f>SUM(I98:I117)</f>
        <v>0</v>
      </c>
      <c r="J118" s="131" t="s">
        <v>302</v>
      </c>
      <c r="K118" s="244">
        <f>IF(COUNT(K98:K117), SUM(K98:K117) / COUNT(K98:K117), 0)</f>
        <v>0</v>
      </c>
      <c r="L118" s="208">
        <f>SUM(L98:L117)</f>
        <v>0</v>
      </c>
      <c r="M118" s="131" t="s">
        <v>302</v>
      </c>
      <c r="N118" s="244">
        <f>IF(COUNT(N98:N117), SUM(N98:N117) / COUNT(N98:N117), 0)</f>
        <v>0</v>
      </c>
      <c r="O118" s="208">
        <f>SUM(O98:O117)</f>
        <v>0</v>
      </c>
      <c r="Q118" s="303"/>
      <c r="R118" s="304"/>
      <c r="S118" s="305"/>
    </row>
    <row r="120" spans="1:19" ht="17.25" thickBot="1"/>
    <row r="121" spans="1:19" ht="17.25" thickBot="1">
      <c r="A121" s="249" t="s">
        <v>288</v>
      </c>
      <c r="B121" s="250"/>
      <c r="C121" s="250"/>
      <c r="D121" s="250"/>
      <c r="E121" s="250"/>
      <c r="F121" s="250"/>
      <c r="G121" s="250"/>
      <c r="H121" s="250"/>
      <c r="I121" s="250"/>
      <c r="J121" s="250"/>
      <c r="K121" s="250"/>
      <c r="L121" s="250"/>
      <c r="M121" s="250"/>
      <c r="N121" s="250"/>
      <c r="O121" s="251"/>
      <c r="Q121" s="270"/>
      <c r="R121" s="270"/>
      <c r="S121" s="270"/>
    </row>
    <row r="122" spans="1:19" ht="17.25" thickBot="1">
      <c r="A122" s="241" t="s">
        <v>298</v>
      </c>
      <c r="B122" s="249" t="s">
        <v>49</v>
      </c>
      <c r="C122" s="251"/>
      <c r="D122" s="249" t="s">
        <v>58</v>
      </c>
      <c r="E122" s="250"/>
      <c r="F122" s="251"/>
      <c r="G122" s="276">
        <f>_xlfn.IFNA(VLOOKUP(B122, 현재가테이블!$B$2:$D$200, 2, FALSE), "-")</f>
        <v>60874000</v>
      </c>
      <c r="H122" s="277"/>
      <c r="I122" s="278"/>
      <c r="J122" s="249" t="s">
        <v>59</v>
      </c>
      <c r="K122" s="250"/>
      <c r="L122" s="251"/>
      <c r="M122" s="279">
        <f>_xlfn.IFNA(VLOOKUP(B122, 현재가테이블!$B$2:$D$200, 3, FALSE), "-")</f>
        <v>-1.4936000099999999E-2</v>
      </c>
      <c r="N122" s="280"/>
      <c r="O122" s="281"/>
      <c r="Q122" s="270"/>
      <c r="R122" s="270"/>
      <c r="S122" s="270"/>
    </row>
    <row r="123" spans="1:19" ht="17.25" thickBot="1">
      <c r="A123" s="310" t="s">
        <v>55</v>
      </c>
      <c r="B123" s="312" t="str">
        <f>TEXT($G$1, "[$-ko-KR]yyyy-mm-dd(ddd) ") &amp; "오전 00:00"</f>
        <v>2021-05-16(일) 오전 00:00</v>
      </c>
      <c r="C123" s="313"/>
      <c r="D123" s="249" t="str">
        <f>TEXT($G$1, "[$-ko-KR]yyyy-mm-dd(ddd) ") &amp; "오후 14:00"</f>
        <v>2021-05-16(일) 오후 14:00</v>
      </c>
      <c r="E123" s="250"/>
      <c r="F123" s="251"/>
      <c r="G123" s="249" t="str">
        <f>TEXT($G$1, "[$-ko-KR]yyyy-mm-dd(ddd) ") &amp; "오후 19:00"</f>
        <v>2021-05-16(일) 오후 19:00</v>
      </c>
      <c r="H123" s="250"/>
      <c r="I123" s="251"/>
      <c r="J123" s="249" t="str">
        <f>TEXT($G$1, "[$-ko-KR]yyyy-mm-dd(ddd) ") &amp; "오후 21:00"</f>
        <v>2021-05-16(일) 오후 21:00</v>
      </c>
      <c r="K123" s="250"/>
      <c r="L123" s="251"/>
      <c r="M123" s="249" t="str">
        <f>TEXT($G$1+1, "[$-ko-KR]yyyy-mm-dd(ddd) ") &amp; "오전 00:00"</f>
        <v>2021-05-17(월) 오전 00:00</v>
      </c>
      <c r="N123" s="250"/>
      <c r="O123" s="251"/>
      <c r="Q123" s="270"/>
      <c r="R123" s="270"/>
      <c r="S123" s="270"/>
    </row>
    <row r="124" spans="1:19" ht="17.25" thickBot="1">
      <c r="A124" s="311"/>
      <c r="B124" s="120" t="s">
        <v>58</v>
      </c>
      <c r="C124" s="121" t="s">
        <v>59</v>
      </c>
      <c r="D124" s="120" t="s">
        <v>58</v>
      </c>
      <c r="E124" s="121" t="s">
        <v>299</v>
      </c>
      <c r="F124" s="248" t="s">
        <v>300</v>
      </c>
      <c r="G124" s="241" t="s">
        <v>58</v>
      </c>
      <c r="H124" s="242" t="s">
        <v>299</v>
      </c>
      <c r="I124" s="243" t="s">
        <v>300</v>
      </c>
      <c r="J124" s="121" t="s">
        <v>58</v>
      </c>
      <c r="K124" s="121" t="s">
        <v>299</v>
      </c>
      <c r="L124" s="246" t="s">
        <v>300</v>
      </c>
      <c r="M124" s="120" t="s">
        <v>58</v>
      </c>
      <c r="N124" s="121" t="s">
        <v>299</v>
      </c>
      <c r="O124" s="247" t="s">
        <v>300</v>
      </c>
      <c r="Q124" s="275"/>
      <c r="R124" s="275"/>
      <c r="S124" s="275"/>
    </row>
    <row r="125" spans="1:19" ht="17.25" thickBot="1">
      <c r="A125" s="122" t="s">
        <v>220</v>
      </c>
      <c r="B125" s="123">
        <v>18.399999999999999</v>
      </c>
      <c r="C125" s="72">
        <v>2.2222222199999999E-2</v>
      </c>
      <c r="D125" s="123"/>
      <c r="E125" s="72" t="str">
        <f>IF(ISNUMBER(D125), (D125 - $B125) / $B125, "")</f>
        <v/>
      </c>
      <c r="F125" s="140" t="str">
        <f>IF(ISNUMBER(D125), $B145 * E125, "")</f>
        <v/>
      </c>
      <c r="G125" s="38"/>
      <c r="H125" s="72" t="str">
        <f>IF(ISNUMBER(G125), (G125 - $B125) / $B125, "")</f>
        <v/>
      </c>
      <c r="I125" s="201" t="str">
        <f>IF(ISNUMBER(G125), $B145 * H125, "")</f>
        <v/>
      </c>
      <c r="J125" s="123"/>
      <c r="K125" s="72" t="str">
        <f>IF(ISNUMBER(J125), (J125 - $B125) / $B125, "")</f>
        <v/>
      </c>
      <c r="L125" s="140" t="str">
        <f>IF(ISNUMBER(J125), $B145 * K125, "")</f>
        <v/>
      </c>
      <c r="M125" s="38"/>
      <c r="N125" s="72" t="str">
        <f>IF(ISNUMBER(M125), (M125 - $B125) / $B125, "")</f>
        <v/>
      </c>
      <c r="O125" s="140" t="str">
        <f>IF(ISNUMBER(M125), $B145 * N125, "")</f>
        <v/>
      </c>
      <c r="Q125" s="270"/>
      <c r="R125" s="270"/>
      <c r="S125" s="270"/>
    </row>
    <row r="126" spans="1:19" ht="17.25" thickBot="1">
      <c r="A126" s="124" t="s">
        <v>126</v>
      </c>
      <c r="B126" s="125">
        <v>49.7</v>
      </c>
      <c r="C126" s="73">
        <v>2.0161290000000002E-3</v>
      </c>
      <c r="D126" s="125"/>
      <c r="E126" s="73" t="str">
        <f t="shared" ref="E126:E129" si="62">IF(ISNUMBER(D126), (D126 - $B126) / $B126, "")</f>
        <v/>
      </c>
      <c r="F126" s="136" t="str">
        <f>IF(ISNUMBER(D126), $B145 * E126, "")</f>
        <v/>
      </c>
      <c r="G126" s="39"/>
      <c r="H126" s="73" t="str">
        <f t="shared" ref="H126:H129" si="63">IF(ISNUMBER(G126), (G126 - $B126) / $B126, "")</f>
        <v/>
      </c>
      <c r="I126" s="202" t="str">
        <f>IF(ISNUMBER(G126), $B145 * H126, "")</f>
        <v/>
      </c>
      <c r="J126" s="125"/>
      <c r="K126" s="73" t="str">
        <f t="shared" ref="K126:K129" si="64">IF(ISNUMBER(J126), (J126 - $B126) / $B126, "")</f>
        <v/>
      </c>
      <c r="L126" s="136" t="str">
        <f>IF(ISNUMBER(J126), $B145 * K126, "")</f>
        <v/>
      </c>
      <c r="M126" s="39"/>
      <c r="N126" s="73" t="str">
        <f t="shared" ref="N126:N129" si="65">IF(ISNUMBER(M126), (M126 - $B126) / $B126, "")</f>
        <v/>
      </c>
      <c r="O126" s="136" t="str">
        <f>IF(ISNUMBER(M126), $B145 * N126, "")</f>
        <v/>
      </c>
      <c r="Q126" s="270"/>
      <c r="R126" s="270"/>
      <c r="S126" s="270"/>
    </row>
    <row r="127" spans="1:19" ht="17.25" thickBot="1">
      <c r="A127" s="124" t="s">
        <v>100</v>
      </c>
      <c r="B127" s="125">
        <v>7.38</v>
      </c>
      <c r="C127" s="73">
        <v>-2.3809523799999999E-2</v>
      </c>
      <c r="D127" s="125"/>
      <c r="E127" s="73" t="str">
        <f t="shared" si="62"/>
        <v/>
      </c>
      <c r="F127" s="136" t="str">
        <f>IF(ISNUMBER(D127), $B145 * E127, "")</f>
        <v/>
      </c>
      <c r="G127" s="39"/>
      <c r="H127" s="73" t="str">
        <f t="shared" si="63"/>
        <v/>
      </c>
      <c r="I127" s="202" t="str">
        <f>IF(ISNUMBER(G127), $B145 * H127, "")</f>
        <v/>
      </c>
      <c r="J127" s="125"/>
      <c r="K127" s="73" t="str">
        <f t="shared" si="64"/>
        <v/>
      </c>
      <c r="L127" s="136" t="str">
        <f>IF(ISNUMBER(J127), $B145 * K127, "")</f>
        <v/>
      </c>
      <c r="M127" s="39"/>
      <c r="N127" s="73" t="str">
        <f t="shared" si="65"/>
        <v/>
      </c>
      <c r="O127" s="136" t="str">
        <f>IF(ISNUMBER(M127), $B145 * N127, "")</f>
        <v/>
      </c>
      <c r="Q127" s="275"/>
      <c r="R127" s="275"/>
      <c r="S127" s="275"/>
    </row>
    <row r="128" spans="1:19" ht="17.25" thickBot="1">
      <c r="A128" s="124" t="s">
        <v>236</v>
      </c>
      <c r="B128" s="125">
        <v>70.7</v>
      </c>
      <c r="C128" s="73">
        <v>-2.7510316399999998E-2</v>
      </c>
      <c r="D128" s="125"/>
      <c r="E128" s="73" t="str">
        <f t="shared" si="62"/>
        <v/>
      </c>
      <c r="F128" s="136" t="str">
        <f>IF(ISNUMBER(D128), $B145 * E128, "")</f>
        <v/>
      </c>
      <c r="G128" s="39"/>
      <c r="H128" s="73" t="str">
        <f t="shared" si="63"/>
        <v/>
      </c>
      <c r="I128" s="202" t="str">
        <f>IF(ISNUMBER(G128), $B145 * H128, "")</f>
        <v/>
      </c>
      <c r="J128" s="125"/>
      <c r="K128" s="73" t="str">
        <f t="shared" si="64"/>
        <v/>
      </c>
      <c r="L128" s="136" t="str">
        <f>IF(ISNUMBER(J128), $B145 * K128, "")</f>
        <v/>
      </c>
      <c r="M128" s="39"/>
      <c r="N128" s="73" t="str">
        <f t="shared" si="65"/>
        <v/>
      </c>
      <c r="O128" s="136" t="str">
        <f>IF(ISNUMBER(M128), $B145 * N128, "")</f>
        <v/>
      </c>
      <c r="Q128" s="275"/>
      <c r="R128" s="275"/>
      <c r="S128" s="275"/>
    </row>
    <row r="129" spans="1:19" ht="17.25" thickBot="1">
      <c r="A129" s="126" t="s">
        <v>196</v>
      </c>
      <c r="B129" s="127">
        <v>17.600000000000001</v>
      </c>
      <c r="C129" s="74">
        <v>-2.7624309400000002E-2</v>
      </c>
      <c r="D129" s="127"/>
      <c r="E129" s="74" t="str">
        <f t="shared" si="62"/>
        <v/>
      </c>
      <c r="F129" s="203" t="str">
        <f>IF(ISNUMBER(D129), $B145 * E129, "")</f>
        <v/>
      </c>
      <c r="G129" s="44"/>
      <c r="H129" s="74" t="str">
        <f t="shared" si="63"/>
        <v/>
      </c>
      <c r="I129" s="204" t="str">
        <f>IF(ISNUMBER(G129), $B145 * H129, "")</f>
        <v/>
      </c>
      <c r="J129" s="127"/>
      <c r="K129" s="74" t="str">
        <f t="shared" si="64"/>
        <v/>
      </c>
      <c r="L129" s="203" t="str">
        <f>IF(ISNUMBER(J129), $B145 * K129, "")</f>
        <v/>
      </c>
      <c r="M129" s="44"/>
      <c r="N129" s="74" t="str">
        <f t="shared" si="65"/>
        <v/>
      </c>
      <c r="O129" s="203" t="str">
        <f>IF(ISNUMBER(M129), $B145 * N129, "")</f>
        <v/>
      </c>
      <c r="Q129" s="275"/>
      <c r="R129" s="275"/>
      <c r="S129" s="275"/>
    </row>
    <row r="130" spans="1:19" ht="17.25" thickBot="1">
      <c r="A130" s="124" t="s">
        <v>254</v>
      </c>
      <c r="B130" s="128">
        <v>71.7</v>
      </c>
      <c r="C130" s="76">
        <v>-3.2388663999999998E-2</v>
      </c>
      <c r="D130" s="128"/>
      <c r="E130" s="76" t="str">
        <f>IF(ISNUMBER(D130), (D130 - $B130) / $B130, "")</f>
        <v/>
      </c>
      <c r="F130" s="205" t="str">
        <f>IF(ISNUMBER(D130), $B145 * E130, "")</f>
        <v/>
      </c>
      <c r="G130" s="45"/>
      <c r="H130" s="76" t="str">
        <f>IF(ISNUMBER(G130), (G130 - $B130) / $B130, "")</f>
        <v/>
      </c>
      <c r="I130" s="206" t="str">
        <f>IF(ISNUMBER(G130), $B145 * H130, "")</f>
        <v/>
      </c>
      <c r="J130" s="128"/>
      <c r="K130" s="76" t="str">
        <f>IF(ISNUMBER(J130), (J130 - $B130) / $B130, "")</f>
        <v/>
      </c>
      <c r="L130" s="205" t="str">
        <f>IF(ISNUMBER(J130), $B145 * K130, "")</f>
        <v/>
      </c>
      <c r="M130" s="45"/>
      <c r="N130" s="76" t="str">
        <f>IF(ISNUMBER(M130), (M130 - $B130) / $B130, "")</f>
        <v/>
      </c>
      <c r="O130" s="205" t="str">
        <f>IF(ISNUMBER(M130), $B145 * N130, "")</f>
        <v/>
      </c>
      <c r="Q130" s="275"/>
      <c r="R130" s="275"/>
      <c r="S130" s="275"/>
    </row>
    <row r="131" spans="1:19" ht="17.25" thickBot="1">
      <c r="A131" s="124" t="s">
        <v>154</v>
      </c>
      <c r="B131" s="125">
        <v>17.600000000000001</v>
      </c>
      <c r="C131" s="73">
        <v>-3.2967033E-2</v>
      </c>
      <c r="D131" s="125"/>
      <c r="E131" s="73" t="str">
        <f t="shared" ref="E131:E134" si="66">IF(ISNUMBER(D131), (D131 - $B131) / $B131, "")</f>
        <v/>
      </c>
      <c r="F131" s="136" t="str">
        <f>IF(ISNUMBER(D131), $B145 * E131, "")</f>
        <v/>
      </c>
      <c r="G131" s="39"/>
      <c r="H131" s="73" t="str">
        <f t="shared" ref="H131:H134" si="67">IF(ISNUMBER(G131), (G131 - $B131) / $B131, "")</f>
        <v/>
      </c>
      <c r="I131" s="202" t="str">
        <f>IF(ISNUMBER(G131), $B145 * H131, "")</f>
        <v/>
      </c>
      <c r="J131" s="125"/>
      <c r="K131" s="73" t="str">
        <f t="shared" ref="K131:K134" si="68">IF(ISNUMBER(J131), (J131 - $B131) / $B131, "")</f>
        <v/>
      </c>
      <c r="L131" s="136" t="str">
        <f>IF(ISNUMBER(J131), $B145 * K131, "")</f>
        <v/>
      </c>
      <c r="M131" s="39"/>
      <c r="N131" s="73" t="str">
        <f t="shared" ref="N131:N134" si="69">IF(ISNUMBER(M131), (M131 - $B131) / $B131, "")</f>
        <v/>
      </c>
      <c r="O131" s="136" t="str">
        <f>IF(ISNUMBER(M131), $B145 * N131, "")</f>
        <v/>
      </c>
      <c r="Q131" s="275"/>
      <c r="R131" s="275"/>
      <c r="S131" s="275"/>
    </row>
    <row r="132" spans="1:19" ht="17.25" thickBot="1">
      <c r="A132" s="124" t="s">
        <v>72</v>
      </c>
      <c r="B132" s="125">
        <v>31.2</v>
      </c>
      <c r="C132" s="73">
        <v>-3.7037037000000002E-2</v>
      </c>
      <c r="D132" s="125"/>
      <c r="E132" s="73" t="str">
        <f t="shared" si="66"/>
        <v/>
      </c>
      <c r="F132" s="136" t="str">
        <f>IF(ISNUMBER(D132), $B145 * E132, "")</f>
        <v/>
      </c>
      <c r="G132" s="39"/>
      <c r="H132" s="73" t="str">
        <f t="shared" si="67"/>
        <v/>
      </c>
      <c r="I132" s="202" t="str">
        <f>IF(ISNUMBER(G132), $B145 * H132, "")</f>
        <v/>
      </c>
      <c r="J132" s="125"/>
      <c r="K132" s="73" t="str">
        <f t="shared" si="68"/>
        <v/>
      </c>
      <c r="L132" s="136" t="str">
        <f>IF(ISNUMBER(J132), $B145 * K132, "")</f>
        <v/>
      </c>
      <c r="M132" s="39"/>
      <c r="N132" s="73" t="str">
        <f t="shared" si="69"/>
        <v/>
      </c>
      <c r="O132" s="136" t="str">
        <f>IF(ISNUMBER(M132), $B145 * N132, "")</f>
        <v/>
      </c>
      <c r="Q132" s="275"/>
      <c r="R132" s="275"/>
      <c r="S132" s="275"/>
    </row>
    <row r="133" spans="1:19" ht="17.25" thickBot="1">
      <c r="A133" s="124" t="s">
        <v>214</v>
      </c>
      <c r="B133" s="125">
        <v>19.100000000000001</v>
      </c>
      <c r="C133" s="73">
        <v>-4.0201004999999998E-2</v>
      </c>
      <c r="D133" s="125"/>
      <c r="E133" s="73" t="str">
        <f t="shared" si="66"/>
        <v/>
      </c>
      <c r="F133" s="136" t="str">
        <f>IF(ISNUMBER(D133), $B145 * E133, "")</f>
        <v/>
      </c>
      <c r="G133" s="39"/>
      <c r="H133" s="73" t="str">
        <f t="shared" si="67"/>
        <v/>
      </c>
      <c r="I133" s="202" t="str">
        <f>IF(ISNUMBER(G133), $B145 * H133, "")</f>
        <v/>
      </c>
      <c r="J133" s="125"/>
      <c r="K133" s="73" t="str">
        <f t="shared" si="68"/>
        <v/>
      </c>
      <c r="L133" s="136" t="str">
        <f>IF(ISNUMBER(J133), $B145 * K133, "")</f>
        <v/>
      </c>
      <c r="M133" s="39"/>
      <c r="N133" s="73" t="str">
        <f t="shared" si="69"/>
        <v/>
      </c>
      <c r="O133" s="136" t="str">
        <f>IF(ISNUMBER(M133), $B145 * N133, "")</f>
        <v/>
      </c>
      <c r="Q133" s="33"/>
      <c r="R133" s="33"/>
    </row>
    <row r="134" spans="1:19" ht="17.25" thickBot="1">
      <c r="A134" s="129" t="s">
        <v>268</v>
      </c>
      <c r="B134" s="130">
        <v>79</v>
      </c>
      <c r="C134" s="75">
        <v>-4.2424242399999999E-2</v>
      </c>
      <c r="D134" s="130"/>
      <c r="E134" s="75" t="str">
        <f t="shared" si="66"/>
        <v/>
      </c>
      <c r="F134" s="137" t="str">
        <f>IF(ISNUMBER(D134), $B145 * E134, "")</f>
        <v/>
      </c>
      <c r="G134" s="37"/>
      <c r="H134" s="75" t="str">
        <f t="shared" si="67"/>
        <v/>
      </c>
      <c r="I134" s="207" t="str">
        <f>IF(ISNUMBER(G134), $B145 * H134, "")</f>
        <v/>
      </c>
      <c r="J134" s="130"/>
      <c r="K134" s="75" t="str">
        <f t="shared" si="68"/>
        <v/>
      </c>
      <c r="L134" s="137" t="str">
        <f>IF(ISNUMBER(J134), $B145 * K134, "")</f>
        <v/>
      </c>
      <c r="M134" s="37"/>
      <c r="N134" s="75" t="str">
        <f t="shared" si="69"/>
        <v/>
      </c>
      <c r="O134" s="137" t="str">
        <f>IF(ISNUMBER(M134), $B145 * N134, "")</f>
        <v/>
      </c>
      <c r="Q134" s="284"/>
      <c r="R134" s="285"/>
      <c r="S134" s="286"/>
    </row>
    <row r="135" spans="1:19">
      <c r="A135" s="122" t="s">
        <v>198</v>
      </c>
      <c r="B135" s="123">
        <v>23.4</v>
      </c>
      <c r="C135" s="72">
        <v>-4.4897959199999997E-2</v>
      </c>
      <c r="D135" s="123"/>
      <c r="E135" s="72" t="str">
        <f>IF(ISNUMBER(D135), (D135 - $B135) / $B135, "")</f>
        <v/>
      </c>
      <c r="F135" s="140" t="str">
        <f>IF(ISNUMBER(D135), $B145 * E135, "")</f>
        <v/>
      </c>
      <c r="G135" s="38"/>
      <c r="H135" s="72" t="str">
        <f>IF(ISNUMBER(G135), (G135 - $B135) / $B135, "")</f>
        <v/>
      </c>
      <c r="I135" s="201" t="str">
        <f>IF(ISNUMBER(G135), $B145 * H135, "")</f>
        <v/>
      </c>
      <c r="J135" s="123"/>
      <c r="K135" s="72" t="str">
        <f>IF(ISNUMBER(J135), (J135 - $B135) / $B135, "")</f>
        <v/>
      </c>
      <c r="L135" s="140" t="str">
        <f>IF(ISNUMBER(J135), $B145 * K135, "")</f>
        <v/>
      </c>
      <c r="M135" s="38"/>
      <c r="N135" s="72" t="str">
        <f>IF(ISNUMBER(M135), (M135 - $B135) / $B135, "")</f>
        <v/>
      </c>
      <c r="O135" s="140" t="str">
        <f>IF(ISNUMBER(M135), $B145 * N135, "")</f>
        <v/>
      </c>
      <c r="Q135" s="287"/>
      <c r="R135" s="288"/>
      <c r="S135" s="289"/>
    </row>
    <row r="136" spans="1:19" ht="17.25" thickBot="1">
      <c r="A136" s="124" t="s">
        <v>266</v>
      </c>
      <c r="B136" s="125">
        <v>88</v>
      </c>
      <c r="C136" s="73">
        <v>-4.55531453E-2</v>
      </c>
      <c r="D136" s="125"/>
      <c r="E136" s="73" t="str">
        <f t="shared" ref="E136:E139" si="70">IF(ISNUMBER(D136), (D136 - $B136) / $B136, "")</f>
        <v/>
      </c>
      <c r="F136" s="136" t="str">
        <f>IF(ISNUMBER(D136), $B145 * E136, "")</f>
        <v/>
      </c>
      <c r="G136" s="39"/>
      <c r="H136" s="73" t="str">
        <f t="shared" ref="H136:H139" si="71">IF(ISNUMBER(G136), (G136 - $B136) / $B136, "")</f>
        <v/>
      </c>
      <c r="I136" s="202" t="str">
        <f>IF(ISNUMBER(G136), $B145 * H136, "")</f>
        <v/>
      </c>
      <c r="J136" s="125"/>
      <c r="K136" s="73" t="str">
        <f t="shared" ref="K136:K139" si="72">IF(ISNUMBER(J136), (J136 - $B136) / $B136, "")</f>
        <v/>
      </c>
      <c r="L136" s="136" t="str">
        <f>IF(ISNUMBER(J136), $B145 * K136, "")</f>
        <v/>
      </c>
      <c r="M136" s="39"/>
      <c r="N136" s="73" t="str">
        <f t="shared" ref="N136:N139" si="73">IF(ISNUMBER(M136), (M136 - $B136) / $B136, "")</f>
        <v/>
      </c>
      <c r="O136" s="136" t="str">
        <f>IF(ISNUMBER(M136), $B145 * N136, "")</f>
        <v/>
      </c>
      <c r="Q136" s="290"/>
      <c r="R136" s="291"/>
      <c r="S136" s="292"/>
    </row>
    <row r="137" spans="1:19" ht="17.25" thickBot="1">
      <c r="A137" s="124" t="s">
        <v>65</v>
      </c>
      <c r="B137" s="125">
        <v>61.6</v>
      </c>
      <c r="C137" s="73">
        <v>-4.6439628500000003E-2</v>
      </c>
      <c r="D137" s="125"/>
      <c r="E137" s="73" t="str">
        <f t="shared" si="70"/>
        <v/>
      </c>
      <c r="F137" s="136" t="str">
        <f>IF(ISNUMBER(D137), $B145 * E137, "")</f>
        <v/>
      </c>
      <c r="G137" s="39"/>
      <c r="H137" s="73" t="str">
        <f t="shared" si="71"/>
        <v/>
      </c>
      <c r="I137" s="202" t="str">
        <f>IF(ISNUMBER(G137), $B145 * H137, "")</f>
        <v/>
      </c>
      <c r="J137" s="125"/>
      <c r="K137" s="73" t="str">
        <f t="shared" si="72"/>
        <v/>
      </c>
      <c r="L137" s="136" t="str">
        <f>IF(ISNUMBER(J137), $B145 * K137, "")</f>
        <v/>
      </c>
      <c r="M137" s="39"/>
      <c r="N137" s="73" t="str">
        <f t="shared" si="73"/>
        <v/>
      </c>
      <c r="O137" s="136" t="str">
        <f>IF(ISNUMBER(M137), $B145 * N137, "")</f>
        <v/>
      </c>
      <c r="Q137" s="275"/>
      <c r="R137" s="275"/>
      <c r="S137" s="275"/>
    </row>
    <row r="138" spans="1:19" ht="17.25" thickBot="1">
      <c r="A138" s="124" t="s">
        <v>222</v>
      </c>
      <c r="B138" s="125">
        <v>15.7</v>
      </c>
      <c r="C138" s="73">
        <v>-4.8484848499999997E-2</v>
      </c>
      <c r="D138" s="125"/>
      <c r="E138" s="73" t="str">
        <f t="shared" si="70"/>
        <v/>
      </c>
      <c r="F138" s="136" t="str">
        <f>IF(ISNUMBER(D138), $B145 * E138, "")</f>
        <v/>
      </c>
      <c r="G138" s="39"/>
      <c r="H138" s="73" t="str">
        <f t="shared" si="71"/>
        <v/>
      </c>
      <c r="I138" s="202" t="str">
        <f>IF(ISNUMBER(G138), $B145 * H138, "")</f>
        <v/>
      </c>
      <c r="J138" s="125"/>
      <c r="K138" s="73" t="str">
        <f t="shared" si="72"/>
        <v/>
      </c>
      <c r="L138" s="136" t="str">
        <f>IF(ISNUMBER(J138), $B145 * K138, "")</f>
        <v/>
      </c>
      <c r="M138" s="39"/>
      <c r="N138" s="73" t="str">
        <f t="shared" si="73"/>
        <v/>
      </c>
      <c r="O138" s="136" t="str">
        <f>IF(ISNUMBER(M138), $B145 * N138, "")</f>
        <v/>
      </c>
      <c r="Q138" s="270"/>
      <c r="R138" s="270"/>
      <c r="S138" s="270"/>
    </row>
    <row r="139" spans="1:19" ht="17.25" thickBot="1">
      <c r="A139" s="126" t="s">
        <v>228</v>
      </c>
      <c r="B139" s="127">
        <v>15.4</v>
      </c>
      <c r="C139" s="74">
        <v>-4.9382716E-2</v>
      </c>
      <c r="D139" s="127"/>
      <c r="E139" s="74" t="str">
        <f t="shared" si="70"/>
        <v/>
      </c>
      <c r="F139" s="203" t="str">
        <f>IF(ISNUMBER(D139), $B145 * E139, "")</f>
        <v/>
      </c>
      <c r="G139" s="44"/>
      <c r="H139" s="74" t="str">
        <f t="shared" si="71"/>
        <v/>
      </c>
      <c r="I139" s="204" t="str">
        <f>IF(ISNUMBER(G139), $B145 * H139, "")</f>
        <v/>
      </c>
      <c r="J139" s="127"/>
      <c r="K139" s="74" t="str">
        <f t="shared" si="72"/>
        <v/>
      </c>
      <c r="L139" s="203" t="str">
        <f>IF(ISNUMBER(J139), $B145 * K139, "")</f>
        <v/>
      </c>
      <c r="M139" s="44"/>
      <c r="N139" s="74" t="str">
        <f t="shared" si="73"/>
        <v/>
      </c>
      <c r="O139" s="203" t="str">
        <f>IF(ISNUMBER(M139), $B145 * N139, "")</f>
        <v/>
      </c>
      <c r="Q139" s="270"/>
      <c r="R139" s="270"/>
      <c r="S139" s="270"/>
    </row>
    <row r="140" spans="1:19" ht="17.25" thickBot="1">
      <c r="A140" s="124" t="s">
        <v>152</v>
      </c>
      <c r="B140" s="128">
        <v>37.9</v>
      </c>
      <c r="C140" s="76">
        <v>-5.2499999999999998E-2</v>
      </c>
      <c r="D140" s="128"/>
      <c r="E140" s="76" t="str">
        <f>IF(ISNUMBER(D140), (D140 - $B140) / $B140, "")</f>
        <v/>
      </c>
      <c r="F140" s="205" t="str">
        <f>IF(ISNUMBER(D140), $B145 * E140, "")</f>
        <v/>
      </c>
      <c r="G140" s="45"/>
      <c r="H140" s="76" t="str">
        <f>IF(ISNUMBER(G140), (G140 - $B140) / $B140, "")</f>
        <v/>
      </c>
      <c r="I140" s="206" t="str">
        <f>IF(ISNUMBER(G140), $B145 * H140, "")</f>
        <v/>
      </c>
      <c r="J140" s="128"/>
      <c r="K140" s="76" t="str">
        <f>IF(ISNUMBER(J140), (J140 - $B140) / $B140, "")</f>
        <v/>
      </c>
      <c r="L140" s="205" t="str">
        <f>IF(ISNUMBER(J140), $B145 * K140, "")</f>
        <v/>
      </c>
      <c r="M140" s="45"/>
      <c r="N140" s="76" t="str">
        <f>IF(ISNUMBER(M140), (M140 - $B140) / $B140, "")</f>
        <v/>
      </c>
      <c r="O140" s="205" t="str">
        <f>IF(ISNUMBER(M140), $B145 * N140, "")</f>
        <v/>
      </c>
      <c r="Q140" s="275"/>
      <c r="R140" s="275"/>
      <c r="S140" s="275"/>
    </row>
    <row r="141" spans="1:19" ht="17.25" thickBot="1">
      <c r="A141" s="124" t="s">
        <v>218</v>
      </c>
      <c r="B141" s="125">
        <v>23</v>
      </c>
      <c r="C141" s="73">
        <v>-5.3497942399999998E-2</v>
      </c>
      <c r="D141" s="125"/>
      <c r="E141" s="73" t="str">
        <f t="shared" ref="E141:E144" si="74">IF(ISNUMBER(D141), (D141 - $B141) / $B141, "")</f>
        <v/>
      </c>
      <c r="F141" s="136" t="str">
        <f>IF(ISNUMBER(D141), $B145 * E141, "")</f>
        <v/>
      </c>
      <c r="G141" s="39"/>
      <c r="H141" s="73" t="str">
        <f t="shared" ref="H141:H144" si="75">IF(ISNUMBER(G141), (G141 - $B141) / $B141, "")</f>
        <v/>
      </c>
      <c r="I141" s="202" t="str">
        <f>IF(ISNUMBER(G141), $B145 * H141, "")</f>
        <v/>
      </c>
      <c r="J141" s="125"/>
      <c r="K141" s="73" t="str">
        <f t="shared" ref="K141:K144" si="76">IF(ISNUMBER(J141), (J141 - $B141) / $B141, "")</f>
        <v/>
      </c>
      <c r="L141" s="136" t="str">
        <f>IF(ISNUMBER(J141), $B145 * K141, "")</f>
        <v/>
      </c>
      <c r="M141" s="39"/>
      <c r="N141" s="73" t="str">
        <f t="shared" ref="N141:N144" si="77">IF(ISNUMBER(M141), (M141 - $B141) / $B141, "")</f>
        <v/>
      </c>
      <c r="O141" s="136" t="str">
        <f>IF(ISNUMBER(M141), $B145 * N141, "")</f>
        <v/>
      </c>
      <c r="Q141" s="275"/>
      <c r="R141" s="275"/>
      <c r="S141" s="275"/>
    </row>
    <row r="142" spans="1:19" ht="17.25" thickBot="1">
      <c r="A142" s="124" t="s">
        <v>172</v>
      </c>
      <c r="B142" s="125">
        <v>22.5</v>
      </c>
      <c r="C142" s="73">
        <v>-6.25E-2</v>
      </c>
      <c r="D142" s="125"/>
      <c r="E142" s="73" t="str">
        <f t="shared" si="74"/>
        <v/>
      </c>
      <c r="F142" s="136" t="str">
        <f>IF(ISNUMBER(D142), $B145 * E142, "")</f>
        <v/>
      </c>
      <c r="G142" s="39"/>
      <c r="H142" s="73" t="str">
        <f t="shared" si="75"/>
        <v/>
      </c>
      <c r="I142" s="202" t="str">
        <f>IF(ISNUMBER(G142), $B145 * H142, "")</f>
        <v/>
      </c>
      <c r="J142" s="125"/>
      <c r="K142" s="73" t="str">
        <f t="shared" si="76"/>
        <v/>
      </c>
      <c r="L142" s="136" t="str">
        <f>IF(ISNUMBER(J142), $B145 * K142, "")</f>
        <v/>
      </c>
      <c r="M142" s="39"/>
      <c r="N142" s="73" t="str">
        <f t="shared" si="77"/>
        <v/>
      </c>
      <c r="O142" s="136" t="str">
        <f>IF(ISNUMBER(M142), $B145 * N142, "")</f>
        <v/>
      </c>
      <c r="Q142" s="275"/>
      <c r="R142" s="275"/>
      <c r="S142" s="275"/>
    </row>
    <row r="143" spans="1:19">
      <c r="A143" s="124" t="s">
        <v>186</v>
      </c>
      <c r="B143" s="125">
        <v>22.4</v>
      </c>
      <c r="C143" s="73">
        <v>-7.4380165299999995E-2</v>
      </c>
      <c r="D143" s="125"/>
      <c r="E143" s="73" t="str">
        <f t="shared" si="74"/>
        <v/>
      </c>
      <c r="F143" s="136" t="str">
        <f>IF(ISNUMBER(D143), $B145 * E143, "")</f>
        <v/>
      </c>
      <c r="G143" s="39"/>
      <c r="H143" s="73" t="str">
        <f t="shared" si="75"/>
        <v/>
      </c>
      <c r="I143" s="202" t="str">
        <f>IF(ISNUMBER(G143), $B145 * H143, "")</f>
        <v/>
      </c>
      <c r="J143" s="125"/>
      <c r="K143" s="73" t="str">
        <f t="shared" si="76"/>
        <v/>
      </c>
      <c r="L143" s="136" t="str">
        <f>IF(ISNUMBER(J143), $B145 * K143, "")</f>
        <v/>
      </c>
      <c r="M143" s="39"/>
      <c r="N143" s="73" t="str">
        <f t="shared" si="77"/>
        <v/>
      </c>
      <c r="O143" s="136" t="str">
        <f>IF(ISNUMBER(M143), $B145 * N143, "")</f>
        <v/>
      </c>
      <c r="Q143" s="297"/>
      <c r="R143" s="298"/>
      <c r="S143" s="299"/>
    </row>
    <row r="144" spans="1:19" ht="17.25" thickBot="1">
      <c r="A144" s="129"/>
      <c r="B144" s="130"/>
      <c r="C144" s="75"/>
      <c r="D144" s="130"/>
      <c r="E144" s="75" t="str">
        <f t="shared" si="74"/>
        <v/>
      </c>
      <c r="F144" s="137" t="str">
        <f>IF(ISNUMBER(D144), $B145 * E144, "")</f>
        <v/>
      </c>
      <c r="G144" s="37"/>
      <c r="H144" s="75" t="str">
        <f t="shared" si="75"/>
        <v/>
      </c>
      <c r="I144" s="207" t="str">
        <f>IF(ISNUMBER(G144), $B145 * H144, "")</f>
        <v/>
      </c>
      <c r="J144" s="130"/>
      <c r="K144" s="75" t="str">
        <f t="shared" si="76"/>
        <v/>
      </c>
      <c r="L144" s="137" t="str">
        <f>IF(ISNUMBER(J144), $B145 * K144, "")</f>
        <v/>
      </c>
      <c r="M144" s="37"/>
      <c r="N144" s="75" t="str">
        <f t="shared" si="77"/>
        <v/>
      </c>
      <c r="O144" s="137" t="str">
        <f>IF(ISNUMBER(M144), $B145 * N144, "")</f>
        <v/>
      </c>
      <c r="Q144" s="300"/>
      <c r="R144" s="301"/>
      <c r="S144" s="302"/>
    </row>
    <row r="145" spans="1:19" ht="17.25" thickBot="1">
      <c r="A145" s="131" t="s">
        <v>301</v>
      </c>
      <c r="B145" s="308">
        <f>$B$37</f>
        <v>150000</v>
      </c>
      <c r="C145" s="309"/>
      <c r="D145" s="131" t="s">
        <v>302</v>
      </c>
      <c r="E145" s="244">
        <f>IF(COUNT(E125:E144), SUM(E125:E144) / COUNT(E125:E144), 0)</f>
        <v>0</v>
      </c>
      <c r="F145" s="208">
        <f>SUM(F125:F144)</f>
        <v>0</v>
      </c>
      <c r="G145" s="131" t="s">
        <v>302</v>
      </c>
      <c r="H145" s="244">
        <f>IF(COUNT(H125:H144), SUM(H125:H144) / COUNT(H125:H144), 0)</f>
        <v>0</v>
      </c>
      <c r="I145" s="208">
        <f>SUM(I125:I144)</f>
        <v>0</v>
      </c>
      <c r="J145" s="131" t="s">
        <v>302</v>
      </c>
      <c r="K145" s="244">
        <f>IF(COUNT(K125:K144), SUM(K125:K144) / COUNT(K125:K144), 0)</f>
        <v>0</v>
      </c>
      <c r="L145" s="208">
        <f>SUM(L125:L144)</f>
        <v>0</v>
      </c>
      <c r="M145" s="131" t="s">
        <v>302</v>
      </c>
      <c r="N145" s="244">
        <f>IF(COUNT(N125:N144), SUM(N125:N144) / COUNT(N125:N144), 0)</f>
        <v>0</v>
      </c>
      <c r="O145" s="208">
        <f>SUM(O125:O144)</f>
        <v>0</v>
      </c>
      <c r="Q145" s="303"/>
      <c r="R145" s="304"/>
      <c r="S145" s="305"/>
    </row>
    <row r="147" spans="1:19" ht="17.25" thickBot="1"/>
    <row r="148" spans="1:19" ht="17.25" thickBot="1">
      <c r="A148" s="249" t="s">
        <v>289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1"/>
      <c r="Q148" s="270"/>
      <c r="R148" s="270"/>
      <c r="S148" s="270"/>
    </row>
    <row r="149" spans="1:19" ht="17.25" thickBot="1">
      <c r="A149" s="241" t="s">
        <v>298</v>
      </c>
      <c r="B149" s="249" t="s">
        <v>49</v>
      </c>
      <c r="C149" s="251"/>
      <c r="D149" s="249" t="s">
        <v>58</v>
      </c>
      <c r="E149" s="250"/>
      <c r="F149" s="251"/>
      <c r="G149" s="276">
        <f>_xlfn.IFNA(VLOOKUP(B149, 현재가테이블!$B$2:$D$200, 2, FALSE), "-")</f>
        <v>60874000</v>
      </c>
      <c r="H149" s="277"/>
      <c r="I149" s="278"/>
      <c r="J149" s="249" t="s">
        <v>59</v>
      </c>
      <c r="K149" s="250"/>
      <c r="L149" s="251"/>
      <c r="M149" s="279">
        <f>_xlfn.IFNA(VLOOKUP(B149, 현재가테이블!$B$2:$D$200, 3, FALSE), "-")</f>
        <v>-1.4936000099999999E-2</v>
      </c>
      <c r="N149" s="280"/>
      <c r="O149" s="281"/>
      <c r="Q149" s="270"/>
      <c r="R149" s="270"/>
      <c r="S149" s="270"/>
    </row>
    <row r="150" spans="1:19" ht="17.25" thickBot="1">
      <c r="A150" s="310" t="s">
        <v>55</v>
      </c>
      <c r="B150" s="312" t="str">
        <f>TEXT($G$1, "[$-ko-KR]yyyy-mm-dd(ddd) ") &amp; "오전 00:00"</f>
        <v>2021-05-16(일) 오전 00:00</v>
      </c>
      <c r="C150" s="313"/>
      <c r="D150" s="249" t="str">
        <f>TEXT($G$1, "[$-ko-KR]yyyy-mm-dd(ddd) ") &amp; "오후 14:00"</f>
        <v>2021-05-16(일) 오후 14:00</v>
      </c>
      <c r="E150" s="250"/>
      <c r="F150" s="251"/>
      <c r="G150" s="249" t="str">
        <f>TEXT($G$1, "[$-ko-KR]yyyy-mm-dd(ddd) ") &amp; "오후 19:00"</f>
        <v>2021-05-16(일) 오후 19:00</v>
      </c>
      <c r="H150" s="250"/>
      <c r="I150" s="251"/>
      <c r="J150" s="249" t="str">
        <f>TEXT($G$1, "[$-ko-KR]yyyy-mm-dd(ddd) ") &amp; "오후 21:00"</f>
        <v>2021-05-16(일) 오후 21:00</v>
      </c>
      <c r="K150" s="250"/>
      <c r="L150" s="251"/>
      <c r="M150" s="249" t="str">
        <f>TEXT($G$1+1, "[$-ko-KR]yyyy-mm-dd(ddd) ") &amp; "오전 00:00"</f>
        <v>2021-05-17(월) 오전 00:00</v>
      </c>
      <c r="N150" s="250"/>
      <c r="O150" s="251"/>
      <c r="Q150" s="270"/>
      <c r="R150" s="270"/>
      <c r="S150" s="270"/>
    </row>
    <row r="151" spans="1:19" ht="17.25" thickBot="1">
      <c r="A151" s="311"/>
      <c r="B151" s="120" t="s">
        <v>58</v>
      </c>
      <c r="C151" s="121" t="s">
        <v>59</v>
      </c>
      <c r="D151" s="120" t="s">
        <v>58</v>
      </c>
      <c r="E151" s="121" t="s">
        <v>299</v>
      </c>
      <c r="F151" s="248" t="s">
        <v>300</v>
      </c>
      <c r="G151" s="241" t="s">
        <v>58</v>
      </c>
      <c r="H151" s="242" t="s">
        <v>299</v>
      </c>
      <c r="I151" s="243" t="s">
        <v>300</v>
      </c>
      <c r="J151" s="121" t="s">
        <v>58</v>
      </c>
      <c r="K151" s="121" t="s">
        <v>299</v>
      </c>
      <c r="L151" s="246" t="s">
        <v>300</v>
      </c>
      <c r="M151" s="120" t="s">
        <v>58</v>
      </c>
      <c r="N151" s="121" t="s">
        <v>299</v>
      </c>
      <c r="O151" s="247" t="s">
        <v>300</v>
      </c>
      <c r="Q151" s="275"/>
      <c r="R151" s="275"/>
      <c r="S151" s="275"/>
    </row>
    <row r="152" spans="1:19" ht="17.25" thickBot="1">
      <c r="A152" s="122" t="s">
        <v>132</v>
      </c>
      <c r="B152" s="123">
        <v>224</v>
      </c>
      <c r="C152" s="72">
        <v>-3.0303030299999999E-2</v>
      </c>
      <c r="D152" s="123"/>
      <c r="E152" s="72" t="str">
        <f>IF(ISNUMBER(D152), (D152 - $B152) / $B152, "")</f>
        <v/>
      </c>
      <c r="F152" s="140" t="str">
        <f>IF(ISNUMBER(D152), $B172 * E152, "")</f>
        <v/>
      </c>
      <c r="G152" s="38"/>
      <c r="H152" s="72" t="str">
        <f>IF(ISNUMBER(G152), (G152 - $B152) / $B152, "")</f>
        <v/>
      </c>
      <c r="I152" s="201" t="str">
        <f>IF(ISNUMBER(G152), $B172 * H152, "")</f>
        <v/>
      </c>
      <c r="J152" s="123"/>
      <c r="K152" s="72" t="str">
        <f>IF(ISNUMBER(J152), (J152 - $B152) / $B152, "")</f>
        <v/>
      </c>
      <c r="L152" s="140" t="str">
        <f>IF(ISNUMBER(J152), $B172 * K152, "")</f>
        <v/>
      </c>
      <c r="M152" s="38"/>
      <c r="N152" s="72" t="str">
        <f>IF(ISNUMBER(M152), (M152 - $B152) / $B152, "")</f>
        <v/>
      </c>
      <c r="O152" s="140" t="str">
        <f>IF(ISNUMBER(M152), $B172 * N152, "")</f>
        <v/>
      </c>
      <c r="Q152" s="270"/>
      <c r="R152" s="270"/>
      <c r="S152" s="270"/>
    </row>
    <row r="153" spans="1:19" ht="17.25" thickBot="1">
      <c r="A153" s="124" t="s">
        <v>112</v>
      </c>
      <c r="B153" s="125">
        <v>226</v>
      </c>
      <c r="C153" s="73">
        <v>-3.4188034200000002E-2</v>
      </c>
      <c r="D153" s="125"/>
      <c r="E153" s="73" t="str">
        <f t="shared" ref="E153:E156" si="78">IF(ISNUMBER(D153), (D153 - $B153) / $B153, "")</f>
        <v/>
      </c>
      <c r="F153" s="136" t="str">
        <f>IF(ISNUMBER(D153), $B172 * E153, "")</f>
        <v/>
      </c>
      <c r="G153" s="39"/>
      <c r="H153" s="73" t="str">
        <f t="shared" ref="H153:H156" si="79">IF(ISNUMBER(G153), (G153 - $B153) / $B153, "")</f>
        <v/>
      </c>
      <c r="I153" s="202" t="str">
        <f>IF(ISNUMBER(G153), $B172 * H153, "")</f>
        <v/>
      </c>
      <c r="J153" s="125"/>
      <c r="K153" s="73" t="str">
        <f t="shared" ref="K153:K156" si="80">IF(ISNUMBER(J153), (J153 - $B153) / $B153, "")</f>
        <v/>
      </c>
      <c r="L153" s="136" t="str">
        <f>IF(ISNUMBER(J153), $B172 * K153, "")</f>
        <v/>
      </c>
      <c r="M153" s="39"/>
      <c r="N153" s="73" t="str">
        <f t="shared" ref="N153:N156" si="81">IF(ISNUMBER(M153), (M153 - $B153) / $B153, "")</f>
        <v/>
      </c>
      <c r="O153" s="136" t="str">
        <f>IF(ISNUMBER(M153), $B172 * N153, "")</f>
        <v/>
      </c>
      <c r="Q153" s="270"/>
      <c r="R153" s="270"/>
      <c r="S153" s="270"/>
    </row>
    <row r="154" spans="1:19" ht="17.25" thickBot="1">
      <c r="A154" s="124" t="s">
        <v>284</v>
      </c>
      <c r="B154" s="125">
        <v>407</v>
      </c>
      <c r="C154" s="73">
        <v>-3.5545023699999997E-2</v>
      </c>
      <c r="D154" s="125"/>
      <c r="E154" s="73" t="str">
        <f t="shared" si="78"/>
        <v/>
      </c>
      <c r="F154" s="136" t="str">
        <f>IF(ISNUMBER(D154), $B172 * E154, "")</f>
        <v/>
      </c>
      <c r="G154" s="39"/>
      <c r="H154" s="73" t="str">
        <f t="shared" si="79"/>
        <v/>
      </c>
      <c r="I154" s="202" t="str">
        <f>IF(ISNUMBER(G154), $B172 * H154, "")</f>
        <v/>
      </c>
      <c r="J154" s="125"/>
      <c r="K154" s="73" t="str">
        <f t="shared" si="80"/>
        <v/>
      </c>
      <c r="L154" s="136" t="str">
        <f>IF(ISNUMBER(J154), $B172 * K154, "")</f>
        <v/>
      </c>
      <c r="M154" s="39"/>
      <c r="N154" s="73" t="str">
        <f t="shared" si="81"/>
        <v/>
      </c>
      <c r="O154" s="136" t="str">
        <f>IF(ISNUMBER(M154), $B172 * N154, "")</f>
        <v/>
      </c>
      <c r="Q154" s="275"/>
      <c r="R154" s="275"/>
      <c r="S154" s="275"/>
    </row>
    <row r="155" spans="1:19" ht="17.25" thickBot="1">
      <c r="A155" s="124" t="s">
        <v>122</v>
      </c>
      <c r="B155" s="125">
        <v>102</v>
      </c>
      <c r="C155" s="73">
        <v>-3.7735849100000003E-2</v>
      </c>
      <c r="D155" s="125"/>
      <c r="E155" s="73" t="str">
        <f t="shared" si="78"/>
        <v/>
      </c>
      <c r="F155" s="136" t="str">
        <f>IF(ISNUMBER(D155), $B172 * E155, "")</f>
        <v/>
      </c>
      <c r="G155" s="39"/>
      <c r="H155" s="73" t="str">
        <f t="shared" si="79"/>
        <v/>
      </c>
      <c r="I155" s="202" t="str">
        <f>IF(ISNUMBER(G155), $B172 * H155, "")</f>
        <v/>
      </c>
      <c r="J155" s="125"/>
      <c r="K155" s="73" t="str">
        <f t="shared" si="80"/>
        <v/>
      </c>
      <c r="L155" s="136" t="str">
        <f>IF(ISNUMBER(J155), $B172 * K155, "")</f>
        <v/>
      </c>
      <c r="M155" s="39"/>
      <c r="N155" s="73" t="str">
        <f t="shared" si="81"/>
        <v/>
      </c>
      <c r="O155" s="136" t="str">
        <f>IF(ISNUMBER(M155), $B172 * N155, "")</f>
        <v/>
      </c>
      <c r="Q155" s="275"/>
      <c r="R155" s="275"/>
      <c r="S155" s="275"/>
    </row>
    <row r="156" spans="1:19" ht="17.25" thickBot="1">
      <c r="A156" s="126" t="s">
        <v>142</v>
      </c>
      <c r="B156" s="127">
        <v>405</v>
      </c>
      <c r="C156" s="74">
        <v>-3.8004750599999998E-2</v>
      </c>
      <c r="D156" s="127"/>
      <c r="E156" s="74" t="str">
        <f t="shared" si="78"/>
        <v/>
      </c>
      <c r="F156" s="203" t="str">
        <f>IF(ISNUMBER(D156), $B172 * E156, "")</f>
        <v/>
      </c>
      <c r="G156" s="44"/>
      <c r="H156" s="74" t="str">
        <f t="shared" si="79"/>
        <v/>
      </c>
      <c r="I156" s="204" t="str">
        <f>IF(ISNUMBER(G156), $B172 * H156, "")</f>
        <v/>
      </c>
      <c r="J156" s="127"/>
      <c r="K156" s="74" t="str">
        <f t="shared" si="80"/>
        <v/>
      </c>
      <c r="L156" s="203" t="str">
        <f>IF(ISNUMBER(J156), $B172 * K156, "")</f>
        <v/>
      </c>
      <c r="M156" s="44"/>
      <c r="N156" s="74" t="str">
        <f t="shared" si="81"/>
        <v/>
      </c>
      <c r="O156" s="203" t="str">
        <f>IF(ISNUMBER(M156), $B172 * N156, "")</f>
        <v/>
      </c>
      <c r="Q156" s="275"/>
      <c r="R156" s="275"/>
      <c r="S156" s="275"/>
    </row>
    <row r="157" spans="1:19" ht="17.25" thickBot="1">
      <c r="A157" s="124" t="s">
        <v>270</v>
      </c>
      <c r="B157" s="128">
        <v>500</v>
      </c>
      <c r="C157" s="76">
        <v>-3.8461538500000003E-2</v>
      </c>
      <c r="D157" s="128"/>
      <c r="E157" s="76" t="str">
        <f>IF(ISNUMBER(D157), (D157 - $B157) / $B157, "")</f>
        <v/>
      </c>
      <c r="F157" s="205" t="str">
        <f>IF(ISNUMBER(D157), $B172 * E157, "")</f>
        <v/>
      </c>
      <c r="G157" s="45"/>
      <c r="H157" s="76" t="str">
        <f>IF(ISNUMBER(G157), (G157 - $B157) / $B157, "")</f>
        <v/>
      </c>
      <c r="I157" s="206" t="str">
        <f>IF(ISNUMBER(G157), $B172 * H157, "")</f>
        <v/>
      </c>
      <c r="J157" s="128"/>
      <c r="K157" s="76" t="str">
        <f>IF(ISNUMBER(J157), (J157 - $B157) / $B157, "")</f>
        <v/>
      </c>
      <c r="L157" s="205" t="str">
        <f>IF(ISNUMBER(J157), $B172 * K157, "")</f>
        <v/>
      </c>
      <c r="M157" s="45"/>
      <c r="N157" s="76" t="str">
        <f>IF(ISNUMBER(M157), (M157 - $B157) / $B157, "")</f>
        <v/>
      </c>
      <c r="O157" s="205" t="str">
        <f>IF(ISNUMBER(M157), $B172 * N157, "")</f>
        <v/>
      </c>
      <c r="Q157" s="275"/>
      <c r="R157" s="275"/>
      <c r="S157" s="275"/>
    </row>
    <row r="158" spans="1:19" ht="17.25" thickBot="1">
      <c r="A158" s="124" t="s">
        <v>212</v>
      </c>
      <c r="B158" s="125">
        <v>123</v>
      </c>
      <c r="C158" s="73">
        <v>-3.90625E-2</v>
      </c>
      <c r="D158" s="125"/>
      <c r="E158" s="73" t="str">
        <f t="shared" ref="E158:E161" si="82">IF(ISNUMBER(D158), (D158 - $B158) / $B158, "")</f>
        <v/>
      </c>
      <c r="F158" s="136" t="str">
        <f>IF(ISNUMBER(D158), $B172 * E158, "")</f>
        <v/>
      </c>
      <c r="G158" s="39"/>
      <c r="H158" s="73" t="str">
        <f t="shared" ref="H158:H161" si="83">IF(ISNUMBER(G158), (G158 - $B158) / $B158, "")</f>
        <v/>
      </c>
      <c r="I158" s="202" t="str">
        <f>IF(ISNUMBER(G158), $B172 * H158, "")</f>
        <v/>
      </c>
      <c r="J158" s="125"/>
      <c r="K158" s="73" t="str">
        <f t="shared" ref="K158:K161" si="84">IF(ISNUMBER(J158), (J158 - $B158) / $B158, "")</f>
        <v/>
      </c>
      <c r="L158" s="136" t="str">
        <f>IF(ISNUMBER(J158), $B172 * K158, "")</f>
        <v/>
      </c>
      <c r="M158" s="39"/>
      <c r="N158" s="73" t="str">
        <f t="shared" ref="N158:N161" si="85">IF(ISNUMBER(M158), (M158 - $B158) / $B158, "")</f>
        <v/>
      </c>
      <c r="O158" s="136" t="str">
        <f>IF(ISNUMBER(M158), $B172 * N158, "")</f>
        <v/>
      </c>
      <c r="Q158" s="275"/>
      <c r="R158" s="275"/>
      <c r="S158" s="275"/>
    </row>
    <row r="159" spans="1:19" ht="17.25" thickBot="1">
      <c r="A159" s="124" t="s">
        <v>148</v>
      </c>
      <c r="B159" s="125">
        <v>170</v>
      </c>
      <c r="C159" s="73">
        <v>-3.9548022600000003E-2</v>
      </c>
      <c r="D159" s="125"/>
      <c r="E159" s="73" t="str">
        <f t="shared" si="82"/>
        <v/>
      </c>
      <c r="F159" s="136" t="str">
        <f>IF(ISNUMBER(D159), $B172 * E159, "")</f>
        <v/>
      </c>
      <c r="G159" s="39"/>
      <c r="H159" s="73" t="str">
        <f t="shared" si="83"/>
        <v/>
      </c>
      <c r="I159" s="202" t="str">
        <f>IF(ISNUMBER(G159), $B172 * H159, "")</f>
        <v/>
      </c>
      <c r="J159" s="125"/>
      <c r="K159" s="73" t="str">
        <f t="shared" si="84"/>
        <v/>
      </c>
      <c r="L159" s="136" t="str">
        <f>IF(ISNUMBER(J159), $B172 * K159, "")</f>
        <v/>
      </c>
      <c r="M159" s="39"/>
      <c r="N159" s="73" t="str">
        <f t="shared" si="85"/>
        <v/>
      </c>
      <c r="O159" s="136" t="str">
        <f>IF(ISNUMBER(M159), $B172 * N159, "")</f>
        <v/>
      </c>
      <c r="Q159" s="275"/>
      <c r="R159" s="275"/>
      <c r="S159" s="275"/>
    </row>
    <row r="160" spans="1:19" ht="17.25" thickBot="1">
      <c r="A160" s="124" t="s">
        <v>136</v>
      </c>
      <c r="B160" s="125">
        <v>235</v>
      </c>
      <c r="C160" s="73">
        <v>-4.08163265E-2</v>
      </c>
      <c r="D160" s="125"/>
      <c r="E160" s="73" t="str">
        <f t="shared" si="82"/>
        <v/>
      </c>
      <c r="F160" s="136" t="str">
        <f>IF(ISNUMBER(D160), $B172 * E160, "")</f>
        <v/>
      </c>
      <c r="G160" s="39"/>
      <c r="H160" s="73" t="str">
        <f t="shared" si="83"/>
        <v/>
      </c>
      <c r="I160" s="202" t="str">
        <f>IF(ISNUMBER(G160), $B172 * H160, "")</f>
        <v/>
      </c>
      <c r="J160" s="125"/>
      <c r="K160" s="73" t="str">
        <f t="shared" si="84"/>
        <v/>
      </c>
      <c r="L160" s="136" t="str">
        <f>IF(ISNUMBER(J160), $B172 * K160, "")</f>
        <v/>
      </c>
      <c r="M160" s="39"/>
      <c r="N160" s="73" t="str">
        <f t="shared" si="85"/>
        <v/>
      </c>
      <c r="O160" s="136" t="str">
        <f>IF(ISNUMBER(M160), $B172 * N160, "")</f>
        <v/>
      </c>
      <c r="Q160" s="33"/>
      <c r="R160" s="33"/>
    </row>
    <row r="161" spans="1:19" ht="17.25" thickBot="1">
      <c r="A161" s="129" t="s">
        <v>202</v>
      </c>
      <c r="B161" s="130">
        <v>163</v>
      </c>
      <c r="C161" s="75">
        <v>-4.1176470600000001E-2</v>
      </c>
      <c r="D161" s="130"/>
      <c r="E161" s="75" t="str">
        <f t="shared" si="82"/>
        <v/>
      </c>
      <c r="F161" s="137" t="str">
        <f>IF(ISNUMBER(D161), $B172 * E161, "")</f>
        <v/>
      </c>
      <c r="G161" s="37"/>
      <c r="H161" s="75" t="str">
        <f t="shared" si="83"/>
        <v/>
      </c>
      <c r="I161" s="207" t="str">
        <f>IF(ISNUMBER(G161), $B172 * H161, "")</f>
        <v/>
      </c>
      <c r="J161" s="130"/>
      <c r="K161" s="75" t="str">
        <f t="shared" si="84"/>
        <v/>
      </c>
      <c r="L161" s="137" t="str">
        <f>IF(ISNUMBER(J161), $B172 * K161, "")</f>
        <v/>
      </c>
      <c r="M161" s="37"/>
      <c r="N161" s="75" t="str">
        <f t="shared" si="85"/>
        <v/>
      </c>
      <c r="O161" s="137" t="str">
        <f>IF(ISNUMBER(M161), $B172 * N161, "")</f>
        <v/>
      </c>
      <c r="Q161" s="284"/>
      <c r="R161" s="285"/>
      <c r="S161" s="286"/>
    </row>
    <row r="162" spans="1:19">
      <c r="A162" s="122" t="s">
        <v>192</v>
      </c>
      <c r="B162" s="123">
        <v>996</v>
      </c>
      <c r="C162" s="72">
        <v>-4.2307692299999998E-2</v>
      </c>
      <c r="D162" s="123"/>
      <c r="E162" s="72" t="str">
        <f>IF(ISNUMBER(D162), (D162 - $B162) / $B162, "")</f>
        <v/>
      </c>
      <c r="F162" s="140" t="str">
        <f>IF(ISNUMBER(D162), $B172 * E162, "")</f>
        <v/>
      </c>
      <c r="G162" s="38"/>
      <c r="H162" s="72" t="str">
        <f>IF(ISNUMBER(G162), (G162 - $B162) / $B162, "")</f>
        <v/>
      </c>
      <c r="I162" s="201" t="str">
        <f>IF(ISNUMBER(G162), $B172 * H162, "")</f>
        <v/>
      </c>
      <c r="J162" s="123"/>
      <c r="K162" s="72" t="str">
        <f>IF(ISNUMBER(J162), (J162 - $B162) / $B162, "")</f>
        <v/>
      </c>
      <c r="L162" s="140" t="str">
        <f>IF(ISNUMBER(J162), $B172 * K162, "")</f>
        <v/>
      </c>
      <c r="M162" s="38"/>
      <c r="N162" s="72" t="str">
        <f>IF(ISNUMBER(M162), (M162 - $B162) / $B162, "")</f>
        <v/>
      </c>
      <c r="O162" s="140" t="str">
        <f>IF(ISNUMBER(M162), $B172 * N162, "")</f>
        <v/>
      </c>
      <c r="Q162" s="287"/>
      <c r="R162" s="288"/>
      <c r="S162" s="289"/>
    </row>
    <row r="163" spans="1:19" ht="17.25" thickBot="1">
      <c r="A163" s="124" t="s">
        <v>264</v>
      </c>
      <c r="B163" s="125">
        <v>147</v>
      </c>
      <c r="C163" s="73">
        <v>-4.5454545499999999E-2</v>
      </c>
      <c r="D163" s="125"/>
      <c r="E163" s="73" t="str">
        <f t="shared" ref="E163:E166" si="86">IF(ISNUMBER(D163), (D163 - $B163) / $B163, "")</f>
        <v/>
      </c>
      <c r="F163" s="136" t="str">
        <f>IF(ISNUMBER(D163), $B172 * E163, "")</f>
        <v/>
      </c>
      <c r="G163" s="39"/>
      <c r="H163" s="73" t="str">
        <f t="shared" ref="H163:H166" si="87">IF(ISNUMBER(G163), (G163 - $B163) / $B163, "")</f>
        <v/>
      </c>
      <c r="I163" s="202" t="str">
        <f>IF(ISNUMBER(G163), $B172 * H163, "")</f>
        <v/>
      </c>
      <c r="J163" s="125"/>
      <c r="K163" s="73" t="str">
        <f t="shared" ref="K163:K166" si="88">IF(ISNUMBER(J163), (J163 - $B163) / $B163, "")</f>
        <v/>
      </c>
      <c r="L163" s="136" t="str">
        <f>IF(ISNUMBER(J163), $B172 * K163, "")</f>
        <v/>
      </c>
      <c r="M163" s="39"/>
      <c r="N163" s="73" t="str">
        <f t="shared" ref="N163:N166" si="89">IF(ISNUMBER(M163), (M163 - $B163) / $B163, "")</f>
        <v/>
      </c>
      <c r="O163" s="136" t="str">
        <f>IF(ISNUMBER(M163), $B172 * N163, "")</f>
        <v/>
      </c>
      <c r="Q163" s="290"/>
      <c r="R163" s="291"/>
      <c r="S163" s="292"/>
    </row>
    <row r="164" spans="1:19" ht="17.25" thickBot="1">
      <c r="A164" s="124" t="s">
        <v>252</v>
      </c>
      <c r="B164" s="125">
        <v>438</v>
      </c>
      <c r="C164" s="73">
        <v>-4.5751633999999999E-2</v>
      </c>
      <c r="D164" s="125"/>
      <c r="E164" s="73" t="str">
        <f t="shared" si="86"/>
        <v/>
      </c>
      <c r="F164" s="136" t="str">
        <f>IF(ISNUMBER(D164), $B172 * E164, "")</f>
        <v/>
      </c>
      <c r="G164" s="39"/>
      <c r="H164" s="73" t="str">
        <f t="shared" si="87"/>
        <v/>
      </c>
      <c r="I164" s="202" t="str">
        <f>IF(ISNUMBER(G164), $B172 * H164, "")</f>
        <v/>
      </c>
      <c r="J164" s="125"/>
      <c r="K164" s="73" t="str">
        <f t="shared" si="88"/>
        <v/>
      </c>
      <c r="L164" s="136" t="str">
        <f>IF(ISNUMBER(J164), $B172 * K164, "")</f>
        <v/>
      </c>
      <c r="M164" s="39"/>
      <c r="N164" s="73" t="str">
        <f t="shared" si="89"/>
        <v/>
      </c>
      <c r="O164" s="136" t="str">
        <f>IF(ISNUMBER(M164), $B172 * N164, "")</f>
        <v/>
      </c>
      <c r="Q164" s="275"/>
      <c r="R164" s="275"/>
      <c r="S164" s="275"/>
    </row>
    <row r="165" spans="1:19" ht="17.25" thickBot="1">
      <c r="A165" s="124" t="s">
        <v>174</v>
      </c>
      <c r="B165" s="125">
        <v>243</v>
      </c>
      <c r="C165" s="73">
        <v>-5.4474708199999999E-2</v>
      </c>
      <c r="D165" s="125"/>
      <c r="E165" s="73" t="str">
        <f t="shared" si="86"/>
        <v/>
      </c>
      <c r="F165" s="136" t="str">
        <f>IF(ISNUMBER(D165), $B172 * E165, "")</f>
        <v/>
      </c>
      <c r="G165" s="39"/>
      <c r="H165" s="73" t="str">
        <f t="shared" si="87"/>
        <v/>
      </c>
      <c r="I165" s="202" t="str">
        <f>IF(ISNUMBER(G165), $B172 * H165, "")</f>
        <v/>
      </c>
      <c r="J165" s="125"/>
      <c r="K165" s="73" t="str">
        <f t="shared" si="88"/>
        <v/>
      </c>
      <c r="L165" s="136" t="str">
        <f>IF(ISNUMBER(J165), $B172 * K165, "")</f>
        <v/>
      </c>
      <c r="M165" s="39"/>
      <c r="N165" s="73" t="str">
        <f t="shared" si="89"/>
        <v/>
      </c>
      <c r="O165" s="136" t="str">
        <f>IF(ISNUMBER(M165), $B172 * N165, "")</f>
        <v/>
      </c>
      <c r="Q165" s="270"/>
      <c r="R165" s="270"/>
      <c r="S165" s="270"/>
    </row>
    <row r="166" spans="1:19" ht="17.25" thickBot="1">
      <c r="A166" s="126" t="s">
        <v>208</v>
      </c>
      <c r="B166" s="127">
        <v>436</v>
      </c>
      <c r="C166" s="74">
        <v>-6.0344827599999998E-2</v>
      </c>
      <c r="D166" s="127"/>
      <c r="E166" s="74" t="str">
        <f t="shared" si="86"/>
        <v/>
      </c>
      <c r="F166" s="203" t="str">
        <f>IF(ISNUMBER(D166), $B172 * E166, "")</f>
        <v/>
      </c>
      <c r="G166" s="44"/>
      <c r="H166" s="74" t="str">
        <f t="shared" si="87"/>
        <v/>
      </c>
      <c r="I166" s="204" t="str">
        <f>IF(ISNUMBER(G166), $B172 * H166, "")</f>
        <v/>
      </c>
      <c r="J166" s="127"/>
      <c r="K166" s="74" t="str">
        <f t="shared" si="88"/>
        <v/>
      </c>
      <c r="L166" s="203" t="str">
        <f>IF(ISNUMBER(J166), $B172 * K166, "")</f>
        <v/>
      </c>
      <c r="M166" s="44"/>
      <c r="N166" s="74" t="str">
        <f t="shared" si="89"/>
        <v/>
      </c>
      <c r="O166" s="203" t="str">
        <f>IF(ISNUMBER(M166), $B172 * N166, "")</f>
        <v/>
      </c>
      <c r="Q166" s="270"/>
      <c r="R166" s="270"/>
      <c r="S166" s="270"/>
    </row>
    <row r="167" spans="1:19" ht="17.25" thickBot="1">
      <c r="A167" s="124" t="s">
        <v>54</v>
      </c>
      <c r="B167" s="128">
        <v>389</v>
      </c>
      <c r="C167" s="76">
        <v>-6.2650602400000005E-2</v>
      </c>
      <c r="D167" s="128"/>
      <c r="E167" s="76" t="str">
        <f>IF(ISNUMBER(D167), (D167 - $B167) / $B167, "")</f>
        <v/>
      </c>
      <c r="F167" s="205" t="str">
        <f>IF(ISNUMBER(D167), $B172 * E167, "")</f>
        <v/>
      </c>
      <c r="G167" s="45"/>
      <c r="H167" s="76" t="str">
        <f>IF(ISNUMBER(G167), (G167 - $B167) / $B167, "")</f>
        <v/>
      </c>
      <c r="I167" s="206" t="str">
        <f>IF(ISNUMBER(G167), $B172 * H167, "")</f>
        <v/>
      </c>
      <c r="J167" s="128"/>
      <c r="K167" s="76" t="str">
        <f>IF(ISNUMBER(J167), (J167 - $B167) / $B167, "")</f>
        <v/>
      </c>
      <c r="L167" s="205" t="str">
        <f>IF(ISNUMBER(J167), $B172 * K167, "")</f>
        <v/>
      </c>
      <c r="M167" s="45"/>
      <c r="N167" s="76" t="str">
        <f>IF(ISNUMBER(M167), (M167 - $B167) / $B167, "")</f>
        <v/>
      </c>
      <c r="O167" s="205" t="str">
        <f>IF(ISNUMBER(M167), $B172 * N167, "")</f>
        <v/>
      </c>
      <c r="Q167" s="275"/>
      <c r="R167" s="275"/>
      <c r="S167" s="275"/>
    </row>
    <row r="168" spans="1:19" ht="17.25" thickBot="1">
      <c r="A168" s="124" t="s">
        <v>170</v>
      </c>
      <c r="B168" s="125">
        <v>470</v>
      </c>
      <c r="C168" s="73">
        <v>-6.7460317500000005E-2</v>
      </c>
      <c r="D168" s="125"/>
      <c r="E168" s="73" t="str">
        <f t="shared" ref="E168:E171" si="90">IF(ISNUMBER(D168), (D168 - $B168) / $B168, "")</f>
        <v/>
      </c>
      <c r="F168" s="136" t="str">
        <f>IF(ISNUMBER(D168), $B172 * E168, "")</f>
        <v/>
      </c>
      <c r="G168" s="39"/>
      <c r="H168" s="73" t="str">
        <f t="shared" ref="H168:H171" si="91">IF(ISNUMBER(G168), (G168 - $B168) / $B168, "")</f>
        <v/>
      </c>
      <c r="I168" s="202" t="str">
        <f>IF(ISNUMBER(G168), $B172 * H168, "")</f>
        <v/>
      </c>
      <c r="J168" s="125"/>
      <c r="K168" s="73" t="str">
        <f t="shared" ref="K168:K171" si="92">IF(ISNUMBER(J168), (J168 - $B168) / $B168, "")</f>
        <v/>
      </c>
      <c r="L168" s="136" t="str">
        <f>IF(ISNUMBER(J168), $B172 * K168, "")</f>
        <v/>
      </c>
      <c r="M168" s="39"/>
      <c r="N168" s="73" t="str">
        <f t="shared" ref="N168:N171" si="93">IF(ISNUMBER(M168), (M168 - $B168) / $B168, "")</f>
        <v/>
      </c>
      <c r="O168" s="136" t="str">
        <f>IF(ISNUMBER(M168), $B172 * N168, "")</f>
        <v/>
      </c>
      <c r="Q168" s="275"/>
      <c r="R168" s="275"/>
      <c r="S168" s="275"/>
    </row>
    <row r="169" spans="1:19" ht="17.25" thickBot="1">
      <c r="A169" s="124" t="s">
        <v>240</v>
      </c>
      <c r="B169" s="125">
        <v>157</v>
      </c>
      <c r="C169" s="73">
        <v>-7.1005917200000004E-2</v>
      </c>
      <c r="D169" s="125"/>
      <c r="E169" s="73" t="str">
        <f t="shared" si="90"/>
        <v/>
      </c>
      <c r="F169" s="136" t="str">
        <f>IF(ISNUMBER(D169), $B172 * E169, "")</f>
        <v/>
      </c>
      <c r="G169" s="39"/>
      <c r="H169" s="73" t="str">
        <f t="shared" si="91"/>
        <v/>
      </c>
      <c r="I169" s="202" t="str">
        <f>IF(ISNUMBER(G169), $B172 * H169, "")</f>
        <v/>
      </c>
      <c r="J169" s="125"/>
      <c r="K169" s="73" t="str">
        <f t="shared" si="92"/>
        <v/>
      </c>
      <c r="L169" s="136" t="str">
        <f>IF(ISNUMBER(J169), $B172 * K169, "")</f>
        <v/>
      </c>
      <c r="M169" s="39"/>
      <c r="N169" s="73" t="str">
        <f t="shared" si="93"/>
        <v/>
      </c>
      <c r="O169" s="136" t="str">
        <f>IF(ISNUMBER(M169), $B172 * N169, "")</f>
        <v/>
      </c>
      <c r="Q169" s="275"/>
      <c r="R169" s="275"/>
      <c r="S169" s="275"/>
    </row>
    <row r="170" spans="1:19">
      <c r="A170" s="124" t="s">
        <v>182</v>
      </c>
      <c r="B170" s="125">
        <v>507</v>
      </c>
      <c r="C170" s="73">
        <v>-7.1428571400000002E-2</v>
      </c>
      <c r="D170" s="125"/>
      <c r="E170" s="73" t="str">
        <f t="shared" si="90"/>
        <v/>
      </c>
      <c r="F170" s="136" t="str">
        <f>IF(ISNUMBER(D170), $B172 * E170, "")</f>
        <v/>
      </c>
      <c r="G170" s="39"/>
      <c r="H170" s="73" t="str">
        <f t="shared" si="91"/>
        <v/>
      </c>
      <c r="I170" s="202" t="str">
        <f>IF(ISNUMBER(G170), $B172 * H170, "")</f>
        <v/>
      </c>
      <c r="J170" s="125"/>
      <c r="K170" s="73" t="str">
        <f t="shared" si="92"/>
        <v/>
      </c>
      <c r="L170" s="136" t="str">
        <f>IF(ISNUMBER(J170), $B172 * K170, "")</f>
        <v/>
      </c>
      <c r="M170" s="39"/>
      <c r="N170" s="73" t="str">
        <f t="shared" si="93"/>
        <v/>
      </c>
      <c r="O170" s="136" t="str">
        <f>IF(ISNUMBER(M170), $B172 * N170, "")</f>
        <v/>
      </c>
      <c r="Q170" s="297"/>
      <c r="R170" s="298"/>
      <c r="S170" s="299"/>
    </row>
    <row r="171" spans="1:19" ht="17.25" thickBot="1">
      <c r="A171" s="129" t="s">
        <v>296</v>
      </c>
      <c r="B171" s="130">
        <v>643</v>
      </c>
      <c r="C171" s="75">
        <v>-7.2150072199999998E-2</v>
      </c>
      <c r="D171" s="130"/>
      <c r="E171" s="75" t="str">
        <f t="shared" si="90"/>
        <v/>
      </c>
      <c r="F171" s="137" t="str">
        <f>IF(ISNUMBER(D171), $B172 * E171, "")</f>
        <v/>
      </c>
      <c r="G171" s="37"/>
      <c r="H171" s="75" t="str">
        <f t="shared" si="91"/>
        <v/>
      </c>
      <c r="I171" s="207" t="str">
        <f>IF(ISNUMBER(G171), $B172 * H171, "")</f>
        <v/>
      </c>
      <c r="J171" s="130"/>
      <c r="K171" s="75" t="str">
        <f t="shared" si="92"/>
        <v/>
      </c>
      <c r="L171" s="137" t="str">
        <f>IF(ISNUMBER(J171), $B172 * K171, "")</f>
        <v/>
      </c>
      <c r="M171" s="37"/>
      <c r="N171" s="75" t="str">
        <f t="shared" si="93"/>
        <v/>
      </c>
      <c r="O171" s="137" t="str">
        <f>IF(ISNUMBER(M171), $B172 * N171, "")</f>
        <v/>
      </c>
      <c r="Q171" s="300"/>
      <c r="R171" s="301"/>
      <c r="S171" s="302"/>
    </row>
    <row r="172" spans="1:19" ht="17.25" thickBot="1">
      <c r="A172" s="131" t="s">
        <v>301</v>
      </c>
      <c r="B172" s="308">
        <f>$B$37</f>
        <v>150000</v>
      </c>
      <c r="C172" s="309"/>
      <c r="D172" s="131" t="s">
        <v>302</v>
      </c>
      <c r="E172" s="244">
        <f>IF(COUNT(E152:E171), SUM(E152:E171) / COUNT(E152:E171), 0)</f>
        <v>0</v>
      </c>
      <c r="F172" s="208">
        <f>SUM(F152:F171)</f>
        <v>0</v>
      </c>
      <c r="G172" s="131" t="s">
        <v>302</v>
      </c>
      <c r="H172" s="244">
        <f>IF(COUNT(H152:H171), SUM(H152:H171) / COUNT(H152:H171), 0)</f>
        <v>0</v>
      </c>
      <c r="I172" s="208">
        <f>SUM(I152:I171)</f>
        <v>0</v>
      </c>
      <c r="J172" s="131" t="s">
        <v>302</v>
      </c>
      <c r="K172" s="244">
        <f>IF(COUNT(K152:K171), SUM(K152:K171) / COUNT(K152:K171), 0)</f>
        <v>0</v>
      </c>
      <c r="L172" s="208">
        <f>SUM(L152:L171)</f>
        <v>0</v>
      </c>
      <c r="M172" s="131" t="s">
        <v>302</v>
      </c>
      <c r="N172" s="244">
        <f>IF(COUNT(N152:N171), SUM(N152:N171) / COUNT(N152:N171), 0)</f>
        <v>0</v>
      </c>
      <c r="O172" s="208">
        <f>SUM(O152:O171)</f>
        <v>0</v>
      </c>
      <c r="Q172" s="303"/>
      <c r="R172" s="304"/>
      <c r="S172" s="305"/>
    </row>
    <row r="174" spans="1:19" ht="17.25" thickBot="1"/>
    <row r="175" spans="1:19" ht="17.25" thickBot="1">
      <c r="A175" s="249" t="s">
        <v>285</v>
      </c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50"/>
      <c r="M175" s="250"/>
      <c r="N175" s="250"/>
      <c r="O175" s="251"/>
      <c r="Q175" s="270"/>
      <c r="R175" s="270"/>
      <c r="S175" s="270"/>
    </row>
    <row r="176" spans="1:19" ht="17.25" thickBot="1">
      <c r="A176" s="241" t="s">
        <v>298</v>
      </c>
      <c r="B176" s="249" t="s">
        <v>49</v>
      </c>
      <c r="C176" s="251"/>
      <c r="D176" s="249" t="s">
        <v>58</v>
      </c>
      <c r="E176" s="250"/>
      <c r="F176" s="251"/>
      <c r="G176" s="276">
        <f>_xlfn.IFNA(VLOOKUP(B176, 현재가테이블!$B$2:$D$200, 2, FALSE), "-")</f>
        <v>60874000</v>
      </c>
      <c r="H176" s="277"/>
      <c r="I176" s="278"/>
      <c r="J176" s="249" t="s">
        <v>59</v>
      </c>
      <c r="K176" s="250"/>
      <c r="L176" s="251"/>
      <c r="M176" s="279">
        <f>_xlfn.IFNA(VLOOKUP(B176, 현재가테이블!$B$2:$D$200, 3, FALSE), "-")</f>
        <v>-1.4936000099999999E-2</v>
      </c>
      <c r="N176" s="280"/>
      <c r="O176" s="281"/>
      <c r="Q176" s="270"/>
      <c r="R176" s="270"/>
      <c r="S176" s="270"/>
    </row>
    <row r="177" spans="1:19" ht="17.25" thickBot="1">
      <c r="A177" s="310" t="s">
        <v>55</v>
      </c>
      <c r="B177" s="312" t="str">
        <f>TEXT($G$1, "[$-ko-KR]yyyy-mm-dd(ddd) ") &amp; "오전 00:00"</f>
        <v>2021-05-16(일) 오전 00:00</v>
      </c>
      <c r="C177" s="313"/>
      <c r="D177" s="249" t="str">
        <f>TEXT($G$1, "[$-ko-KR]yyyy-mm-dd(ddd) ") &amp; "오후 14:00"</f>
        <v>2021-05-16(일) 오후 14:00</v>
      </c>
      <c r="E177" s="250"/>
      <c r="F177" s="251"/>
      <c r="G177" s="249" t="str">
        <f>TEXT($G$1, "[$-ko-KR]yyyy-mm-dd(ddd) ") &amp; "오후 19:00"</f>
        <v>2021-05-16(일) 오후 19:00</v>
      </c>
      <c r="H177" s="250"/>
      <c r="I177" s="251"/>
      <c r="J177" s="249" t="str">
        <f>TEXT($G$1, "[$-ko-KR]yyyy-mm-dd(ddd) ") &amp; "오후 21:00"</f>
        <v>2021-05-16(일) 오후 21:00</v>
      </c>
      <c r="K177" s="250"/>
      <c r="L177" s="251"/>
      <c r="M177" s="249" t="str">
        <f>TEXT($G$1+1, "[$-ko-KR]yyyy-mm-dd(ddd) ") &amp; "오전 00:00"</f>
        <v>2021-05-17(월) 오전 00:00</v>
      </c>
      <c r="N177" s="250"/>
      <c r="O177" s="251"/>
      <c r="Q177" s="270"/>
      <c r="R177" s="270"/>
      <c r="S177" s="270"/>
    </row>
    <row r="178" spans="1:19" ht="17.25" thickBot="1">
      <c r="A178" s="311"/>
      <c r="B178" s="120" t="s">
        <v>58</v>
      </c>
      <c r="C178" s="121" t="s">
        <v>59</v>
      </c>
      <c r="D178" s="120" t="s">
        <v>58</v>
      </c>
      <c r="E178" s="121" t="s">
        <v>299</v>
      </c>
      <c r="F178" s="248" t="s">
        <v>300</v>
      </c>
      <c r="G178" s="241" t="s">
        <v>58</v>
      </c>
      <c r="H178" s="242" t="s">
        <v>299</v>
      </c>
      <c r="I178" s="243" t="s">
        <v>300</v>
      </c>
      <c r="J178" s="121" t="s">
        <v>58</v>
      </c>
      <c r="K178" s="121" t="s">
        <v>299</v>
      </c>
      <c r="L178" s="246" t="s">
        <v>300</v>
      </c>
      <c r="M178" s="120" t="s">
        <v>58</v>
      </c>
      <c r="N178" s="121" t="s">
        <v>299</v>
      </c>
      <c r="O178" s="247" t="s">
        <v>300</v>
      </c>
      <c r="Q178" s="275"/>
      <c r="R178" s="275"/>
      <c r="S178" s="275"/>
    </row>
    <row r="179" spans="1:19" ht="17.25" thickBot="1">
      <c r="A179" s="122" t="s">
        <v>280</v>
      </c>
      <c r="B179" s="123">
        <v>1480</v>
      </c>
      <c r="C179" s="72">
        <v>-5.1282051299999999E-2</v>
      </c>
      <c r="D179" s="123"/>
      <c r="E179" s="72" t="str">
        <f>IF(ISNUMBER(D179), (D179 - $B179) / $B179, "")</f>
        <v/>
      </c>
      <c r="F179" s="140" t="str">
        <f>IF(ISNUMBER(D179), $B199 * E179, "")</f>
        <v/>
      </c>
      <c r="G179" s="38"/>
      <c r="H179" s="72" t="str">
        <f>IF(ISNUMBER(G179), (G179 - $B179) / $B179, "")</f>
        <v/>
      </c>
      <c r="I179" s="201" t="str">
        <f>IF(ISNUMBER(G179), $B199 * H179, "")</f>
        <v/>
      </c>
      <c r="J179" s="123"/>
      <c r="K179" s="72" t="str">
        <f>IF(ISNUMBER(J179), (J179 - $B179) / $B179, "")</f>
        <v/>
      </c>
      <c r="L179" s="140" t="str">
        <f>IF(ISNUMBER(J179), $B199 * K179, "")</f>
        <v/>
      </c>
      <c r="M179" s="38"/>
      <c r="N179" s="72" t="str">
        <f>IF(ISNUMBER(M179), (M179 - $B179) / $B179, "")</f>
        <v/>
      </c>
      <c r="O179" s="140" t="str">
        <f>IF(ISNUMBER(M179), $B199 * N179, "")</f>
        <v/>
      </c>
      <c r="Q179" s="270"/>
      <c r="R179" s="270"/>
      <c r="S179" s="270"/>
    </row>
    <row r="180" spans="1:19" ht="17.25" thickBot="1">
      <c r="A180" s="124" t="s">
        <v>166</v>
      </c>
      <c r="B180" s="125">
        <v>2100</v>
      </c>
      <c r="C180" s="73">
        <v>-5.1918735899999999E-2</v>
      </c>
      <c r="D180" s="125"/>
      <c r="E180" s="73" t="str">
        <f t="shared" ref="E180:E183" si="94">IF(ISNUMBER(D180), (D180 - $B180) / $B180, "")</f>
        <v/>
      </c>
      <c r="F180" s="136" t="str">
        <f>IF(ISNUMBER(D180), $B199 * E180, "")</f>
        <v/>
      </c>
      <c r="G180" s="39"/>
      <c r="H180" s="73" t="str">
        <f t="shared" ref="H180:H183" si="95">IF(ISNUMBER(G180), (G180 - $B180) / $B180, "")</f>
        <v/>
      </c>
      <c r="I180" s="202" t="str">
        <f>IF(ISNUMBER(G180), $B199 * H180, "")</f>
        <v/>
      </c>
      <c r="J180" s="125"/>
      <c r="K180" s="73" t="str">
        <f t="shared" ref="K180:K183" si="96">IF(ISNUMBER(J180), (J180 - $B180) / $B180, "")</f>
        <v/>
      </c>
      <c r="L180" s="136" t="str">
        <f>IF(ISNUMBER(J180), $B199 * K180, "")</f>
        <v/>
      </c>
      <c r="M180" s="39"/>
      <c r="N180" s="73" t="str">
        <f t="shared" ref="N180:N183" si="97">IF(ISNUMBER(M180), (M180 - $B180) / $B180, "")</f>
        <v/>
      </c>
      <c r="O180" s="136" t="str">
        <f>IF(ISNUMBER(M180), $B199 * N180, "")</f>
        <v/>
      </c>
      <c r="Q180" s="270"/>
      <c r="R180" s="270"/>
      <c r="S180" s="270"/>
    </row>
    <row r="181" spans="1:19" ht="17.25" thickBot="1">
      <c r="A181" s="124" t="s">
        <v>234</v>
      </c>
      <c r="B181" s="125">
        <v>1095</v>
      </c>
      <c r="C181" s="73">
        <v>-5.19480519E-2</v>
      </c>
      <c r="D181" s="125"/>
      <c r="E181" s="73" t="str">
        <f t="shared" si="94"/>
        <v/>
      </c>
      <c r="F181" s="136" t="str">
        <f>IF(ISNUMBER(D181), $B199 * E181, "")</f>
        <v/>
      </c>
      <c r="G181" s="39"/>
      <c r="H181" s="73" t="str">
        <f t="shared" si="95"/>
        <v/>
      </c>
      <c r="I181" s="202" t="str">
        <f>IF(ISNUMBER(G181), $B199 * H181, "")</f>
        <v/>
      </c>
      <c r="J181" s="125"/>
      <c r="K181" s="73" t="str">
        <f t="shared" si="96"/>
        <v/>
      </c>
      <c r="L181" s="136" t="str">
        <f>IF(ISNUMBER(J181), $B199 * K181, "")</f>
        <v/>
      </c>
      <c r="M181" s="39"/>
      <c r="N181" s="73" t="str">
        <f t="shared" si="97"/>
        <v/>
      </c>
      <c r="O181" s="136" t="str">
        <f>IF(ISNUMBER(M181), $B199 * N181, "")</f>
        <v/>
      </c>
      <c r="Q181" s="275"/>
      <c r="R181" s="275"/>
      <c r="S181" s="275"/>
    </row>
    <row r="182" spans="1:19" ht="17.25" thickBot="1">
      <c r="A182" s="124" t="s">
        <v>152</v>
      </c>
      <c r="B182" s="125">
        <v>37.9</v>
      </c>
      <c r="C182" s="73">
        <v>-5.2499999999999998E-2</v>
      </c>
      <c r="D182" s="125"/>
      <c r="E182" s="73" t="str">
        <f t="shared" si="94"/>
        <v/>
      </c>
      <c r="F182" s="136" t="str">
        <f>IF(ISNUMBER(D182), $B199 * E182, "")</f>
        <v/>
      </c>
      <c r="G182" s="39"/>
      <c r="H182" s="73" t="str">
        <f t="shared" si="95"/>
        <v/>
      </c>
      <c r="I182" s="202" t="str">
        <f>IF(ISNUMBER(G182), $B199 * H182, "")</f>
        <v/>
      </c>
      <c r="J182" s="125"/>
      <c r="K182" s="73" t="str">
        <f t="shared" si="96"/>
        <v/>
      </c>
      <c r="L182" s="136" t="str">
        <f>IF(ISNUMBER(J182), $B199 * K182, "")</f>
        <v/>
      </c>
      <c r="M182" s="39"/>
      <c r="N182" s="73" t="str">
        <f t="shared" si="97"/>
        <v/>
      </c>
      <c r="O182" s="136" t="str">
        <f>IF(ISNUMBER(M182), $B199 * N182, "")</f>
        <v/>
      </c>
      <c r="Q182" s="275"/>
      <c r="R182" s="275"/>
      <c r="S182" s="275"/>
    </row>
    <row r="183" spans="1:19" ht="17.25" thickBot="1">
      <c r="A183" s="126" t="s">
        <v>218</v>
      </c>
      <c r="B183" s="127">
        <v>23</v>
      </c>
      <c r="C183" s="74">
        <v>-5.3497942399999998E-2</v>
      </c>
      <c r="D183" s="127"/>
      <c r="E183" s="74" t="str">
        <f t="shared" si="94"/>
        <v/>
      </c>
      <c r="F183" s="203" t="str">
        <f>IF(ISNUMBER(D183), $B199 * E183, "")</f>
        <v/>
      </c>
      <c r="G183" s="44"/>
      <c r="H183" s="74" t="str">
        <f t="shared" si="95"/>
        <v/>
      </c>
      <c r="I183" s="204" t="str">
        <f>IF(ISNUMBER(G183), $B199 * H183, "")</f>
        <v/>
      </c>
      <c r="J183" s="127"/>
      <c r="K183" s="74" t="str">
        <f t="shared" si="96"/>
        <v/>
      </c>
      <c r="L183" s="203" t="str">
        <f>IF(ISNUMBER(J183), $B199 * K183, "")</f>
        <v/>
      </c>
      <c r="M183" s="44"/>
      <c r="N183" s="74" t="str">
        <f t="shared" si="97"/>
        <v/>
      </c>
      <c r="O183" s="203" t="str">
        <f>IF(ISNUMBER(M183), $B199 * N183, "")</f>
        <v/>
      </c>
      <c r="Q183" s="275"/>
      <c r="R183" s="275"/>
      <c r="S183" s="275"/>
    </row>
    <row r="184" spans="1:19" ht="17.25" thickBot="1">
      <c r="A184" s="124" t="s">
        <v>174</v>
      </c>
      <c r="B184" s="128">
        <v>243</v>
      </c>
      <c r="C184" s="76">
        <v>-5.4474708199999999E-2</v>
      </c>
      <c r="D184" s="128"/>
      <c r="E184" s="76" t="str">
        <f>IF(ISNUMBER(D184), (D184 - $B184) / $B184, "")</f>
        <v/>
      </c>
      <c r="F184" s="205" t="str">
        <f>IF(ISNUMBER(D184), $B199 * E184, "")</f>
        <v/>
      </c>
      <c r="G184" s="45"/>
      <c r="H184" s="76" t="str">
        <f>IF(ISNUMBER(G184), (G184 - $B184) / $B184, "")</f>
        <v/>
      </c>
      <c r="I184" s="206" t="str">
        <f>IF(ISNUMBER(G184), $B199 * H184, "")</f>
        <v/>
      </c>
      <c r="J184" s="128"/>
      <c r="K184" s="76" t="str">
        <f>IF(ISNUMBER(J184), (J184 - $B184) / $B184, "")</f>
        <v/>
      </c>
      <c r="L184" s="205" t="str">
        <f>IF(ISNUMBER(J184), $B199 * K184, "")</f>
        <v/>
      </c>
      <c r="M184" s="45"/>
      <c r="N184" s="76" t="str">
        <f>IF(ISNUMBER(M184), (M184 - $B184) / $B184, "")</f>
        <v/>
      </c>
      <c r="O184" s="205" t="str">
        <f>IF(ISNUMBER(M184), $B199 * N184, "")</f>
        <v/>
      </c>
      <c r="Q184" s="275"/>
      <c r="R184" s="275"/>
      <c r="S184" s="275"/>
    </row>
    <row r="185" spans="1:19" ht="17.25" thickBot="1">
      <c r="A185" s="124" t="s">
        <v>262</v>
      </c>
      <c r="B185" s="125">
        <v>1105</v>
      </c>
      <c r="C185" s="73">
        <v>-5.5555555600000001E-2</v>
      </c>
      <c r="D185" s="125"/>
      <c r="E185" s="73" t="str">
        <f t="shared" ref="E185:E188" si="98">IF(ISNUMBER(D185), (D185 - $B185) / $B185, "")</f>
        <v/>
      </c>
      <c r="F185" s="136" t="str">
        <f>IF(ISNUMBER(D185), $B199 * E185, "")</f>
        <v/>
      </c>
      <c r="G185" s="39"/>
      <c r="H185" s="73" t="str">
        <f t="shared" ref="H185:H188" si="99">IF(ISNUMBER(G185), (G185 - $B185) / $B185, "")</f>
        <v/>
      </c>
      <c r="I185" s="202" t="str">
        <f>IF(ISNUMBER(G185), $B199 * H185, "")</f>
        <v/>
      </c>
      <c r="J185" s="125"/>
      <c r="K185" s="73" t="str">
        <f t="shared" ref="K185:K188" si="100">IF(ISNUMBER(J185), (J185 - $B185) / $B185, "")</f>
        <v/>
      </c>
      <c r="L185" s="136" t="str">
        <f>IF(ISNUMBER(J185), $B199 * K185, "")</f>
        <v/>
      </c>
      <c r="M185" s="39"/>
      <c r="N185" s="73" t="str">
        <f t="shared" ref="N185:N188" si="101">IF(ISNUMBER(M185), (M185 - $B185) / $B185, "")</f>
        <v/>
      </c>
      <c r="O185" s="136" t="str">
        <f>IF(ISNUMBER(M185), $B199 * N185, "")</f>
        <v/>
      </c>
      <c r="Q185" s="275"/>
      <c r="R185" s="275"/>
      <c r="S185" s="275"/>
    </row>
    <row r="186" spans="1:19" ht="17.25" thickBot="1">
      <c r="A186" s="124" t="s">
        <v>82</v>
      </c>
      <c r="B186" s="125">
        <v>1360</v>
      </c>
      <c r="C186" s="73">
        <v>-5.5555555600000001E-2</v>
      </c>
      <c r="D186" s="125"/>
      <c r="E186" s="73" t="str">
        <f t="shared" si="98"/>
        <v/>
      </c>
      <c r="F186" s="136" t="str">
        <f>IF(ISNUMBER(D186), $B199 * E186, "")</f>
        <v/>
      </c>
      <c r="G186" s="39"/>
      <c r="H186" s="73" t="str">
        <f t="shared" si="99"/>
        <v/>
      </c>
      <c r="I186" s="202" t="str">
        <f>IF(ISNUMBER(G186), $B199 * H186, "")</f>
        <v/>
      </c>
      <c r="J186" s="125"/>
      <c r="K186" s="73" t="str">
        <f t="shared" si="100"/>
        <v/>
      </c>
      <c r="L186" s="136" t="str">
        <f>IF(ISNUMBER(J186), $B199 * K186, "")</f>
        <v/>
      </c>
      <c r="M186" s="39"/>
      <c r="N186" s="73" t="str">
        <f t="shared" si="101"/>
        <v/>
      </c>
      <c r="O186" s="136" t="str">
        <f>IF(ISNUMBER(M186), $B199 * N186, "")</f>
        <v/>
      </c>
      <c r="Q186" s="275"/>
      <c r="R186" s="275"/>
      <c r="S186" s="275"/>
    </row>
    <row r="187" spans="1:19" ht="17.25" thickBot="1">
      <c r="A187" s="124" t="s">
        <v>146</v>
      </c>
      <c r="B187" s="125">
        <v>15790</v>
      </c>
      <c r="C187" s="73">
        <v>-5.7875894999999997E-2</v>
      </c>
      <c r="D187" s="125"/>
      <c r="E187" s="73" t="str">
        <f t="shared" si="98"/>
        <v/>
      </c>
      <c r="F187" s="136" t="str">
        <f>IF(ISNUMBER(D187), $B199 * E187, "")</f>
        <v/>
      </c>
      <c r="G187" s="39"/>
      <c r="H187" s="73" t="str">
        <f t="shared" si="99"/>
        <v/>
      </c>
      <c r="I187" s="202" t="str">
        <f>IF(ISNUMBER(G187), $B199 * H187, "")</f>
        <v/>
      </c>
      <c r="J187" s="125"/>
      <c r="K187" s="73" t="str">
        <f t="shared" si="100"/>
        <v/>
      </c>
      <c r="L187" s="136" t="str">
        <f>IF(ISNUMBER(J187), $B199 * K187, "")</f>
        <v/>
      </c>
      <c r="M187" s="39"/>
      <c r="N187" s="73" t="str">
        <f t="shared" si="101"/>
        <v/>
      </c>
      <c r="O187" s="136" t="str">
        <f>IF(ISNUMBER(M187), $B199 * N187, "")</f>
        <v/>
      </c>
      <c r="Q187" s="33"/>
      <c r="R187" s="33"/>
    </row>
    <row r="188" spans="1:19" ht="17.25" thickBot="1">
      <c r="A188" s="129" t="s">
        <v>242</v>
      </c>
      <c r="B188" s="130">
        <v>8630</v>
      </c>
      <c r="C188" s="75">
        <v>-5.9400544999999999E-2</v>
      </c>
      <c r="D188" s="130"/>
      <c r="E188" s="75" t="str">
        <f t="shared" si="98"/>
        <v/>
      </c>
      <c r="F188" s="137" t="str">
        <f>IF(ISNUMBER(D188), $B199 * E188, "")</f>
        <v/>
      </c>
      <c r="G188" s="37"/>
      <c r="H188" s="75" t="str">
        <f t="shared" si="99"/>
        <v/>
      </c>
      <c r="I188" s="207" t="str">
        <f>IF(ISNUMBER(G188), $B199 * H188, "")</f>
        <v/>
      </c>
      <c r="J188" s="130"/>
      <c r="K188" s="75" t="str">
        <f t="shared" si="100"/>
        <v/>
      </c>
      <c r="L188" s="137" t="str">
        <f>IF(ISNUMBER(J188), $B199 * K188, "")</f>
        <v/>
      </c>
      <c r="M188" s="37"/>
      <c r="N188" s="75" t="str">
        <f t="shared" si="101"/>
        <v/>
      </c>
      <c r="O188" s="137" t="str">
        <f>IF(ISNUMBER(M188), $B199 * N188, "")</f>
        <v/>
      </c>
      <c r="Q188" s="284"/>
      <c r="R188" s="285"/>
      <c r="S188" s="286"/>
    </row>
    <row r="189" spans="1:19">
      <c r="A189" s="122" t="s">
        <v>208</v>
      </c>
      <c r="B189" s="123">
        <v>436</v>
      </c>
      <c r="C189" s="72">
        <v>-6.0344827599999998E-2</v>
      </c>
      <c r="D189" s="123"/>
      <c r="E189" s="72" t="str">
        <f>IF(ISNUMBER(D189), (D189 - $B189) / $B189, "")</f>
        <v/>
      </c>
      <c r="F189" s="140" t="str">
        <f>IF(ISNUMBER(D189), $B199 * E189, "")</f>
        <v/>
      </c>
      <c r="G189" s="38"/>
      <c r="H189" s="72" t="str">
        <f>IF(ISNUMBER(G189), (G189 - $B189) / $B189, "")</f>
        <v/>
      </c>
      <c r="I189" s="201" t="str">
        <f>IF(ISNUMBER(G189), $B199 * H189, "")</f>
        <v/>
      </c>
      <c r="J189" s="123"/>
      <c r="K189" s="72" t="str">
        <f>IF(ISNUMBER(J189), (J189 - $B189) / $B189, "")</f>
        <v/>
      </c>
      <c r="L189" s="140" t="str">
        <f>IF(ISNUMBER(J189), $B199 * K189, "")</f>
        <v/>
      </c>
      <c r="M189" s="38"/>
      <c r="N189" s="72" t="str">
        <f>IF(ISNUMBER(M189), (M189 - $B189) / $B189, "")</f>
        <v/>
      </c>
      <c r="O189" s="140" t="str">
        <f>IF(ISNUMBER(M189), $B199 * N189, "")</f>
        <v/>
      </c>
      <c r="Q189" s="287"/>
      <c r="R189" s="288"/>
      <c r="S189" s="289"/>
    </row>
    <row r="190" spans="1:19" ht="17.25" thickBot="1">
      <c r="A190" s="124" t="s">
        <v>276</v>
      </c>
      <c r="B190" s="125">
        <v>4280</v>
      </c>
      <c r="C190" s="73">
        <v>-6.1403508799999999E-2</v>
      </c>
      <c r="D190" s="125"/>
      <c r="E190" s="73" t="str">
        <f t="shared" ref="E190:E193" si="102">IF(ISNUMBER(D190), (D190 - $B190) / $B190, "")</f>
        <v/>
      </c>
      <c r="F190" s="136" t="str">
        <f>IF(ISNUMBER(D190), $B199 * E190, "")</f>
        <v/>
      </c>
      <c r="G190" s="39"/>
      <c r="H190" s="73" t="str">
        <f t="shared" ref="H190:H193" si="103">IF(ISNUMBER(G190), (G190 - $B190) / $B190, "")</f>
        <v/>
      </c>
      <c r="I190" s="202" t="str">
        <f>IF(ISNUMBER(G190), $B199 * H190, "")</f>
        <v/>
      </c>
      <c r="J190" s="125"/>
      <c r="K190" s="73" t="str">
        <f t="shared" ref="K190:K193" si="104">IF(ISNUMBER(J190), (J190 - $B190) / $B190, "")</f>
        <v/>
      </c>
      <c r="L190" s="136" t="str">
        <f>IF(ISNUMBER(J190), $B199 * K190, "")</f>
        <v/>
      </c>
      <c r="M190" s="39"/>
      <c r="N190" s="73" t="str">
        <f t="shared" ref="N190:N193" si="105">IF(ISNUMBER(M190), (M190 - $B190) / $B190, "")</f>
        <v/>
      </c>
      <c r="O190" s="136" t="str">
        <f>IF(ISNUMBER(M190), $B199 * N190, "")</f>
        <v/>
      </c>
      <c r="Q190" s="290"/>
      <c r="R190" s="291"/>
      <c r="S190" s="292"/>
    </row>
    <row r="191" spans="1:19" ht="17.25" thickBot="1">
      <c r="A191" s="124" t="s">
        <v>172</v>
      </c>
      <c r="B191" s="125">
        <v>22.5</v>
      </c>
      <c r="C191" s="73">
        <v>-6.25E-2</v>
      </c>
      <c r="D191" s="125"/>
      <c r="E191" s="73" t="str">
        <f t="shared" si="102"/>
        <v/>
      </c>
      <c r="F191" s="136" t="str">
        <f>IF(ISNUMBER(D191), $B199 * E191, "")</f>
        <v/>
      </c>
      <c r="G191" s="39"/>
      <c r="H191" s="73" t="str">
        <f t="shared" si="103"/>
        <v/>
      </c>
      <c r="I191" s="202" t="str">
        <f>IF(ISNUMBER(G191), $B199 * H191, "")</f>
        <v/>
      </c>
      <c r="J191" s="125"/>
      <c r="K191" s="73" t="str">
        <f t="shared" si="104"/>
        <v/>
      </c>
      <c r="L191" s="136" t="str">
        <f>IF(ISNUMBER(J191), $B199 * K191, "")</f>
        <v/>
      </c>
      <c r="M191" s="39"/>
      <c r="N191" s="73" t="str">
        <f t="shared" si="105"/>
        <v/>
      </c>
      <c r="O191" s="136" t="str">
        <f>IF(ISNUMBER(M191), $B199 * N191, "")</f>
        <v/>
      </c>
      <c r="Q191" s="275"/>
      <c r="R191" s="275"/>
      <c r="S191" s="275"/>
    </row>
    <row r="192" spans="1:19" ht="17.25" thickBot="1">
      <c r="A192" s="124" t="s">
        <v>204</v>
      </c>
      <c r="B192" s="125">
        <v>6375</v>
      </c>
      <c r="C192" s="73">
        <v>-6.25E-2</v>
      </c>
      <c r="D192" s="125"/>
      <c r="E192" s="73" t="str">
        <f t="shared" si="102"/>
        <v/>
      </c>
      <c r="F192" s="136" t="str">
        <f>IF(ISNUMBER(D192), $B199 * E192, "")</f>
        <v/>
      </c>
      <c r="G192" s="39"/>
      <c r="H192" s="73" t="str">
        <f t="shared" si="103"/>
        <v/>
      </c>
      <c r="I192" s="202" t="str">
        <f>IF(ISNUMBER(G192), $B199 * H192, "")</f>
        <v/>
      </c>
      <c r="J192" s="125"/>
      <c r="K192" s="73" t="str">
        <f t="shared" si="104"/>
        <v/>
      </c>
      <c r="L192" s="136" t="str">
        <f>IF(ISNUMBER(J192), $B199 * K192, "")</f>
        <v/>
      </c>
      <c r="M192" s="39"/>
      <c r="N192" s="73" t="str">
        <f t="shared" si="105"/>
        <v/>
      </c>
      <c r="O192" s="136" t="str">
        <f>IF(ISNUMBER(M192), $B199 * N192, "")</f>
        <v/>
      </c>
      <c r="Q192" s="270"/>
      <c r="R192" s="270"/>
      <c r="S192" s="270"/>
    </row>
    <row r="193" spans="1:19" ht="17.25" thickBot="1">
      <c r="A193" s="126" t="s">
        <v>54</v>
      </c>
      <c r="B193" s="127">
        <v>389</v>
      </c>
      <c r="C193" s="74">
        <v>-6.2650602400000005E-2</v>
      </c>
      <c r="D193" s="127"/>
      <c r="E193" s="74" t="str">
        <f t="shared" si="102"/>
        <v/>
      </c>
      <c r="F193" s="203" t="str">
        <f>IF(ISNUMBER(D193), $B199 * E193, "")</f>
        <v/>
      </c>
      <c r="G193" s="44"/>
      <c r="H193" s="74" t="str">
        <f t="shared" si="103"/>
        <v/>
      </c>
      <c r="I193" s="204" t="str">
        <f>IF(ISNUMBER(G193), $B199 * H193, "")</f>
        <v/>
      </c>
      <c r="J193" s="127"/>
      <c r="K193" s="74" t="str">
        <f t="shared" si="104"/>
        <v/>
      </c>
      <c r="L193" s="203" t="str">
        <f>IF(ISNUMBER(J193), $B199 * K193, "")</f>
        <v/>
      </c>
      <c r="M193" s="44"/>
      <c r="N193" s="74" t="str">
        <f t="shared" si="105"/>
        <v/>
      </c>
      <c r="O193" s="203" t="str">
        <f>IF(ISNUMBER(M193), $B199 * N193, "")</f>
        <v/>
      </c>
      <c r="Q193" s="270"/>
      <c r="R193" s="270"/>
      <c r="S193" s="270"/>
    </row>
    <row r="194" spans="1:19" ht="17.25" thickBot="1">
      <c r="A194" s="124" t="s">
        <v>170</v>
      </c>
      <c r="B194" s="128">
        <v>470</v>
      </c>
      <c r="C194" s="76">
        <v>-6.7460317500000005E-2</v>
      </c>
      <c r="D194" s="128"/>
      <c r="E194" s="76" t="str">
        <f>IF(ISNUMBER(D194), (D194 - $B194) / $B194, "")</f>
        <v/>
      </c>
      <c r="F194" s="205" t="str">
        <f>IF(ISNUMBER(D194), $B199 * E194, "")</f>
        <v/>
      </c>
      <c r="G194" s="45"/>
      <c r="H194" s="76" t="str">
        <f>IF(ISNUMBER(G194), (G194 - $B194) / $B194, "")</f>
        <v/>
      </c>
      <c r="I194" s="206" t="str">
        <f>IF(ISNUMBER(G194), $B199 * H194, "")</f>
        <v/>
      </c>
      <c r="J194" s="128"/>
      <c r="K194" s="76" t="str">
        <f>IF(ISNUMBER(J194), (J194 - $B194) / $B194, "")</f>
        <v/>
      </c>
      <c r="L194" s="205" t="str">
        <f>IF(ISNUMBER(J194), $B199 * K194, "")</f>
        <v/>
      </c>
      <c r="M194" s="45"/>
      <c r="N194" s="76" t="str">
        <f>IF(ISNUMBER(M194), (M194 - $B194) / $B194, "")</f>
        <v/>
      </c>
      <c r="O194" s="205" t="str">
        <f>IF(ISNUMBER(M194), $B199 * N194, "")</f>
        <v/>
      </c>
      <c r="Q194" s="275"/>
      <c r="R194" s="275"/>
      <c r="S194" s="275"/>
    </row>
    <row r="195" spans="1:19" ht="17.25" thickBot="1">
      <c r="A195" s="124" t="s">
        <v>240</v>
      </c>
      <c r="B195" s="125">
        <v>157</v>
      </c>
      <c r="C195" s="73">
        <v>-7.1005917200000004E-2</v>
      </c>
      <c r="D195" s="125"/>
      <c r="E195" s="73" t="str">
        <f t="shared" ref="E195:E198" si="106">IF(ISNUMBER(D195), (D195 - $B195) / $B195, "")</f>
        <v/>
      </c>
      <c r="F195" s="136" t="str">
        <f>IF(ISNUMBER(D195), $B199 * E195, "")</f>
        <v/>
      </c>
      <c r="G195" s="39"/>
      <c r="H195" s="73" t="str">
        <f t="shared" ref="H195:H198" si="107">IF(ISNUMBER(G195), (G195 - $B195) / $B195, "")</f>
        <v/>
      </c>
      <c r="I195" s="202" t="str">
        <f>IF(ISNUMBER(G195), $B199 * H195, "")</f>
        <v/>
      </c>
      <c r="J195" s="125"/>
      <c r="K195" s="73" t="str">
        <f t="shared" ref="K195:K198" si="108">IF(ISNUMBER(J195), (J195 - $B195) / $B195, "")</f>
        <v/>
      </c>
      <c r="L195" s="136" t="str">
        <f>IF(ISNUMBER(J195), $B199 * K195, "")</f>
        <v/>
      </c>
      <c r="M195" s="39"/>
      <c r="N195" s="73" t="str">
        <f t="shared" ref="N195:N198" si="109">IF(ISNUMBER(M195), (M195 - $B195) / $B195, "")</f>
        <v/>
      </c>
      <c r="O195" s="136" t="str">
        <f>IF(ISNUMBER(M195), $B199 * N195, "")</f>
        <v/>
      </c>
      <c r="Q195" s="275"/>
      <c r="R195" s="275"/>
      <c r="S195" s="275"/>
    </row>
    <row r="196" spans="1:19" ht="17.25" thickBot="1">
      <c r="A196" s="124" t="s">
        <v>182</v>
      </c>
      <c r="B196" s="125">
        <v>507</v>
      </c>
      <c r="C196" s="73">
        <v>-7.1428571400000002E-2</v>
      </c>
      <c r="D196" s="125"/>
      <c r="E196" s="73" t="str">
        <f t="shared" si="106"/>
        <v/>
      </c>
      <c r="F196" s="136" t="str">
        <f>IF(ISNUMBER(D196), $B199 * E196, "")</f>
        <v/>
      </c>
      <c r="G196" s="39"/>
      <c r="H196" s="73" t="str">
        <f t="shared" si="107"/>
        <v/>
      </c>
      <c r="I196" s="202" t="str">
        <f>IF(ISNUMBER(G196), $B199 * H196, "")</f>
        <v/>
      </c>
      <c r="J196" s="125"/>
      <c r="K196" s="73" t="str">
        <f t="shared" si="108"/>
        <v/>
      </c>
      <c r="L196" s="136" t="str">
        <f>IF(ISNUMBER(J196), $B199 * K196, "")</f>
        <v/>
      </c>
      <c r="M196" s="39"/>
      <c r="N196" s="73" t="str">
        <f t="shared" si="109"/>
        <v/>
      </c>
      <c r="O196" s="136" t="str">
        <f>IF(ISNUMBER(M196), $B199 * N196, "")</f>
        <v/>
      </c>
      <c r="Q196" s="275"/>
      <c r="R196" s="275"/>
      <c r="S196" s="275"/>
    </row>
    <row r="197" spans="1:19">
      <c r="A197" s="124" t="s">
        <v>296</v>
      </c>
      <c r="B197" s="125">
        <v>643</v>
      </c>
      <c r="C197" s="73">
        <v>-7.2150072199999998E-2</v>
      </c>
      <c r="D197" s="125"/>
      <c r="E197" s="73" t="str">
        <f t="shared" si="106"/>
        <v/>
      </c>
      <c r="F197" s="136" t="str">
        <f>IF(ISNUMBER(D197), $B199 * E197, "")</f>
        <v/>
      </c>
      <c r="G197" s="39"/>
      <c r="H197" s="73" t="str">
        <f t="shared" si="107"/>
        <v/>
      </c>
      <c r="I197" s="202" t="str">
        <f>IF(ISNUMBER(G197), $B199 * H197, "")</f>
        <v/>
      </c>
      <c r="J197" s="125"/>
      <c r="K197" s="73" t="str">
        <f t="shared" si="108"/>
        <v/>
      </c>
      <c r="L197" s="136" t="str">
        <f>IF(ISNUMBER(J197), $B199 * K197, "")</f>
        <v/>
      </c>
      <c r="M197" s="39"/>
      <c r="N197" s="73" t="str">
        <f t="shared" si="109"/>
        <v/>
      </c>
      <c r="O197" s="136" t="str">
        <f>IF(ISNUMBER(M197), $B199 * N197, "")</f>
        <v/>
      </c>
      <c r="Q197" s="297"/>
      <c r="R197" s="298"/>
      <c r="S197" s="299"/>
    </row>
    <row r="198" spans="1:19" ht="17.25" thickBot="1">
      <c r="A198" s="129" t="s">
        <v>186</v>
      </c>
      <c r="B198" s="130">
        <v>22.4</v>
      </c>
      <c r="C198" s="75">
        <v>-7.4380165299999995E-2</v>
      </c>
      <c r="D198" s="130"/>
      <c r="E198" s="75" t="str">
        <f t="shared" si="106"/>
        <v/>
      </c>
      <c r="F198" s="137" t="str">
        <f>IF(ISNUMBER(D198), $B199 * E198, "")</f>
        <v/>
      </c>
      <c r="G198" s="37"/>
      <c r="H198" s="75" t="str">
        <f t="shared" si="107"/>
        <v/>
      </c>
      <c r="I198" s="207" t="str">
        <f>IF(ISNUMBER(G198), $B199 * H198, "")</f>
        <v/>
      </c>
      <c r="J198" s="130"/>
      <c r="K198" s="75" t="str">
        <f t="shared" si="108"/>
        <v/>
      </c>
      <c r="L198" s="137" t="str">
        <f>IF(ISNUMBER(J198), $B199 * K198, "")</f>
        <v/>
      </c>
      <c r="M198" s="37"/>
      <c r="N198" s="75" t="str">
        <f t="shared" si="109"/>
        <v/>
      </c>
      <c r="O198" s="137" t="str">
        <f>IF(ISNUMBER(M198), $B199 * N198, "")</f>
        <v/>
      </c>
      <c r="Q198" s="300"/>
      <c r="R198" s="301"/>
      <c r="S198" s="302"/>
    </row>
    <row r="199" spans="1:19" ht="17.25" thickBot="1">
      <c r="A199" s="131" t="s">
        <v>301</v>
      </c>
      <c r="B199" s="308">
        <f>$B$37</f>
        <v>150000</v>
      </c>
      <c r="C199" s="309"/>
      <c r="D199" s="131" t="s">
        <v>302</v>
      </c>
      <c r="E199" s="244">
        <f>IF(COUNT(E179:E198), SUM(E179:E198) / COUNT(E179:E198), 0)</f>
        <v>0</v>
      </c>
      <c r="F199" s="208">
        <f>SUM(F179:F198)</f>
        <v>0</v>
      </c>
      <c r="G199" s="131" t="s">
        <v>302</v>
      </c>
      <c r="H199" s="244">
        <f>IF(COUNT(H179:H198), SUM(H179:H198) / COUNT(H179:H198), 0)</f>
        <v>0</v>
      </c>
      <c r="I199" s="208">
        <f>SUM(I179:I198)</f>
        <v>0</v>
      </c>
      <c r="J199" s="131" t="s">
        <v>302</v>
      </c>
      <c r="K199" s="244">
        <f>IF(COUNT(K179:K198), SUM(K179:K198) / COUNT(K179:K198), 0)</f>
        <v>0</v>
      </c>
      <c r="L199" s="208">
        <f>SUM(L179:L198)</f>
        <v>0</v>
      </c>
      <c r="M199" s="131" t="s">
        <v>302</v>
      </c>
      <c r="N199" s="244">
        <f>IF(COUNT(N179:N198), SUM(N179:N198) / COUNT(N179:N198), 0)</f>
        <v>0</v>
      </c>
      <c r="O199" s="208">
        <f>SUM(O179:O198)</f>
        <v>0</v>
      </c>
      <c r="Q199" s="303"/>
      <c r="R199" s="304"/>
      <c r="S199" s="305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1" priority="157">
      <formula>AND($N17 &gt; 0, ISNUMBER($N17))</formula>
    </cfRule>
    <cfRule type="expression" dxfId="10" priority="158">
      <formula>AND($N17 = 0 * ISNUMBER($N17))</formula>
    </cfRule>
    <cfRule type="expression" dxfId="9" priority="159">
      <formula>AND($N17 &lt; 0, ISNUMBER($N17))</formula>
    </cfRule>
  </conditionalFormatting>
  <conditionalFormatting sqref="A17:F36">
    <cfRule type="expression" dxfId="8" priority="166">
      <formula>AND($E17 &gt; 0, ISNUMBER($E17))</formula>
    </cfRule>
    <cfRule type="expression" dxfId="7" priority="167">
      <formula>AND($E17 = 0 * ISNUMBER($E17))</formula>
    </cfRule>
    <cfRule type="expression" dxfId="6" priority="168">
      <formula>AND($E17 &lt; 0, ISNUMBER($E17))</formula>
    </cfRule>
  </conditionalFormatting>
  <conditionalFormatting sqref="A17:C36 G17:I36">
    <cfRule type="expression" dxfId="5" priority="163">
      <formula>AND($H17 &gt; 0, ISNUMBER($H17))</formula>
    </cfRule>
    <cfRule type="expression" dxfId="4" priority="164">
      <formula>AND($H17 = 0 * ISNUMBER($H17))</formula>
    </cfRule>
    <cfRule type="expression" dxfId="3" priority="165">
      <formula>AND($H17 &lt; 0, ISNUMBER($H17))</formula>
    </cfRule>
  </conditionalFormatting>
  <conditionalFormatting sqref="A17:C36 J17:L36">
    <cfRule type="expression" dxfId="2" priority="160">
      <formula>AND($K17 &gt; 0, ISNUMBER($K17))</formula>
    </cfRule>
    <cfRule type="expression" dxfId="1" priority="161">
      <formula>AND($K17 = 0 * ISNUMBER($K17))</formula>
    </cfRule>
    <cfRule type="expression" dxfId="0" priority="162">
      <formula>AND($K17 &lt; 0, ISNUMBER($K17))</formula>
    </cfRule>
  </conditionalFormatting>
  <conditionalFormatting sqref="D15:F16 E37:F37">
    <cfRule type="expression" dxfId="179" priority="154">
      <formula>$E$37 &gt; 0</formula>
    </cfRule>
    <cfRule type="expression" dxfId="178" priority="155">
      <formula>$E$37 = 0</formula>
    </cfRule>
    <cfRule type="expression" dxfId="177" priority="156">
      <formula>$E$37 &lt; 0</formula>
    </cfRule>
  </conditionalFormatting>
  <conditionalFormatting sqref="G15:I16 H37:I37">
    <cfRule type="expression" dxfId="176" priority="151">
      <formula>$H$37 &gt; 0</formula>
    </cfRule>
    <cfRule type="expression" dxfId="175" priority="152">
      <formula>$H$37 = 0</formula>
    </cfRule>
    <cfRule type="expression" dxfId="174" priority="153">
      <formula>$H$37 &lt; 0</formula>
    </cfRule>
  </conditionalFormatting>
  <conditionalFormatting sqref="J15:L16 K37:L37">
    <cfRule type="expression" dxfId="173" priority="148">
      <formula>$K$37 &gt; 0</formula>
    </cfRule>
    <cfRule type="expression" dxfId="172" priority="149">
      <formula>$K$37 = 0</formula>
    </cfRule>
    <cfRule type="expression" dxfId="171" priority="150">
      <formula>$K$37 &lt; 0</formula>
    </cfRule>
  </conditionalFormatting>
  <conditionalFormatting sqref="M15:O16 N37:O37">
    <cfRule type="expression" dxfId="170" priority="145">
      <formula>$N$37 &gt; 0</formula>
    </cfRule>
    <cfRule type="expression" dxfId="169" priority="146">
      <formula>$N$37 = 0</formula>
    </cfRule>
    <cfRule type="expression" dxfId="168" priority="147">
      <formula>$N$37 &lt; 0</formula>
    </cfRule>
  </conditionalFormatting>
  <conditionalFormatting sqref="A44:C63 M44:O63">
    <cfRule type="expression" dxfId="167" priority="133">
      <formula>AND($N44 &gt; 0, ISNUMBER($N44))</formula>
    </cfRule>
    <cfRule type="expression" dxfId="166" priority="134">
      <formula>AND($N44 = 0 * ISNUMBER($N44))</formula>
    </cfRule>
    <cfRule type="expression" dxfId="165" priority="135">
      <formula>AND($N44 &lt; 0, ISNUMBER($N44))</formula>
    </cfRule>
  </conditionalFormatting>
  <conditionalFormatting sqref="A44:F63">
    <cfRule type="expression" dxfId="164" priority="142">
      <formula>AND($E44 &gt; 0, ISNUMBER($E44))</formula>
    </cfRule>
    <cfRule type="expression" dxfId="163" priority="143">
      <formula>AND($E44 = 0 * ISNUMBER($E44))</formula>
    </cfRule>
    <cfRule type="expression" dxfId="162" priority="144">
      <formula>AND($E44 &lt; 0, ISNUMBER($E44))</formula>
    </cfRule>
  </conditionalFormatting>
  <conditionalFormatting sqref="A44:C63 G44:I63">
    <cfRule type="expression" dxfId="161" priority="139">
      <formula>AND($H44 &gt; 0, ISNUMBER($H44))</formula>
    </cfRule>
    <cfRule type="expression" dxfId="160" priority="140">
      <formula>AND($H44 = 0 * ISNUMBER($H44))</formula>
    </cfRule>
    <cfRule type="expression" dxfId="159" priority="141">
      <formula>AND($H44 &lt; 0, ISNUMBER($H44))</formula>
    </cfRule>
  </conditionalFormatting>
  <conditionalFormatting sqref="A44:C63 J44:L63">
    <cfRule type="expression" dxfId="158" priority="136">
      <formula>AND($K44 &gt; 0, ISNUMBER($K44))</formula>
    </cfRule>
    <cfRule type="expression" dxfId="157" priority="137">
      <formula>AND($K44 = 0 * ISNUMBER($K44))</formula>
    </cfRule>
    <cfRule type="expression" dxfId="156" priority="138">
      <formula>AND($K44 &lt; 0, ISNUMBER($K44))</formula>
    </cfRule>
  </conditionalFormatting>
  <conditionalFormatting sqref="D42:F43 E64:F64">
    <cfRule type="expression" dxfId="155" priority="130">
      <formula>$E$64 &gt; 0</formula>
    </cfRule>
    <cfRule type="expression" dxfId="154" priority="131">
      <formula>$E$64 = 0</formula>
    </cfRule>
    <cfRule type="expression" dxfId="153" priority="132">
      <formula>$E$64 &lt; 0</formula>
    </cfRule>
  </conditionalFormatting>
  <conditionalFormatting sqref="G42:I43 H64:I64">
    <cfRule type="expression" dxfId="152" priority="127">
      <formula>$H$64 &gt; 0</formula>
    </cfRule>
    <cfRule type="expression" dxfId="151" priority="128">
      <formula>$H$64 = 0</formula>
    </cfRule>
    <cfRule type="expression" dxfId="150" priority="129">
      <formula>$H$64 &lt; 0</formula>
    </cfRule>
  </conditionalFormatting>
  <conditionalFormatting sqref="J42:L43 K64:L64">
    <cfRule type="expression" dxfId="149" priority="124">
      <formula>$K$64 &gt; 0</formula>
    </cfRule>
    <cfRule type="expression" dxfId="148" priority="125">
      <formula>$K$64 = 0</formula>
    </cfRule>
    <cfRule type="expression" dxfId="147" priority="126">
      <formula>$K$64 &lt; 0</formula>
    </cfRule>
  </conditionalFormatting>
  <conditionalFormatting sqref="M42:O43 N64:O64">
    <cfRule type="expression" dxfId="146" priority="121">
      <formula>$N$64 &gt; 0</formula>
    </cfRule>
    <cfRule type="expression" dxfId="145" priority="122">
      <formula>$N$64 = 0</formula>
    </cfRule>
    <cfRule type="expression" dxfId="144" priority="123">
      <formula>$N$64 &lt; 0</formula>
    </cfRule>
  </conditionalFormatting>
  <conditionalFormatting sqref="A71:C90 M71:O90">
    <cfRule type="expression" dxfId="143" priority="109">
      <formula>AND($N71 &gt; 0, ISNUMBER($N71))</formula>
    </cfRule>
    <cfRule type="expression" dxfId="142" priority="110">
      <formula>AND($N71 = 0 * ISNUMBER($N71))</formula>
    </cfRule>
    <cfRule type="expression" dxfId="141" priority="111">
      <formula>AND($N71 &lt; 0, ISNUMBER($N71))</formula>
    </cfRule>
  </conditionalFormatting>
  <conditionalFormatting sqref="A71:F90">
    <cfRule type="expression" dxfId="140" priority="118">
      <formula>AND($E71 &gt; 0, ISNUMBER($E71))</formula>
    </cfRule>
    <cfRule type="expression" dxfId="139" priority="119">
      <formula>AND($E71 = 0 * ISNUMBER($E71))</formula>
    </cfRule>
    <cfRule type="expression" dxfId="138" priority="120">
      <formula>AND($E71 &lt; 0, ISNUMBER($E71))</formula>
    </cfRule>
  </conditionalFormatting>
  <conditionalFormatting sqref="A71:C90 G71:I90">
    <cfRule type="expression" dxfId="137" priority="115">
      <formula>AND($H71 &gt; 0, ISNUMBER($H71))</formula>
    </cfRule>
    <cfRule type="expression" dxfId="136" priority="116">
      <formula>AND($H71 = 0 * ISNUMBER($H71))</formula>
    </cfRule>
    <cfRule type="expression" dxfId="135" priority="117">
      <formula>AND($H71 &lt; 0, ISNUMBER($H71))</formula>
    </cfRule>
  </conditionalFormatting>
  <conditionalFormatting sqref="A71:C90 J71:L90">
    <cfRule type="expression" dxfId="134" priority="112">
      <formula>AND($K71 &gt; 0, ISNUMBER($K71))</formula>
    </cfRule>
    <cfRule type="expression" dxfId="133" priority="113">
      <formula>AND($K71 = 0 * ISNUMBER($K71))</formula>
    </cfRule>
    <cfRule type="expression" dxfId="132" priority="114">
      <formula>AND($K71 &lt; 0, ISNUMBER($K71))</formula>
    </cfRule>
  </conditionalFormatting>
  <conditionalFormatting sqref="D69:F70 E91:F91">
    <cfRule type="expression" dxfId="131" priority="106">
      <formula>$E$91 &gt; 0</formula>
    </cfRule>
    <cfRule type="expression" dxfId="130" priority="107">
      <formula>$E$91 = 0</formula>
    </cfRule>
    <cfRule type="expression" dxfId="129" priority="108">
      <formula>$E$91 &lt; 0</formula>
    </cfRule>
  </conditionalFormatting>
  <conditionalFormatting sqref="G69:I70 H91:I91">
    <cfRule type="expression" dxfId="128" priority="103">
      <formula>$H$91 &gt; 0</formula>
    </cfRule>
    <cfRule type="expression" dxfId="127" priority="104">
      <formula>$H$91 = 0</formula>
    </cfRule>
    <cfRule type="expression" dxfId="126" priority="105">
      <formula>$H$91 &lt; 0</formula>
    </cfRule>
  </conditionalFormatting>
  <conditionalFormatting sqref="J69:L70 K91:L91">
    <cfRule type="expression" dxfId="125" priority="100">
      <formula>$K$91 &gt; 0</formula>
    </cfRule>
    <cfRule type="expression" dxfId="124" priority="101">
      <formula>$K$91 = 0</formula>
    </cfRule>
    <cfRule type="expression" dxfId="123" priority="102">
      <formula>$K$91 &lt; 0</formula>
    </cfRule>
  </conditionalFormatting>
  <conditionalFormatting sqref="M69:O70 N91:O91">
    <cfRule type="expression" dxfId="122" priority="97">
      <formula>$N$91 &gt; 0</formula>
    </cfRule>
    <cfRule type="expression" dxfId="121" priority="98">
      <formula>$N$91 = 0</formula>
    </cfRule>
    <cfRule type="expression" dxfId="120" priority="99">
      <formula>$N$91 &lt; 0</formula>
    </cfRule>
  </conditionalFormatting>
  <conditionalFormatting sqref="A98:C117 M98:O117">
    <cfRule type="expression" dxfId="119" priority="85">
      <formula>AND($N98 &gt; 0, ISNUMBER($N98))</formula>
    </cfRule>
    <cfRule type="expression" dxfId="118" priority="86">
      <formula>AND($N98 = 0 * ISNUMBER($N98))</formula>
    </cfRule>
    <cfRule type="expression" dxfId="117" priority="87">
      <formula>AND($N98 &lt; 0, ISNUMBER($N98))</formula>
    </cfRule>
  </conditionalFormatting>
  <conditionalFormatting sqref="A98:F117">
    <cfRule type="expression" dxfId="116" priority="94">
      <formula>AND($E98 &gt; 0, ISNUMBER($E98))</formula>
    </cfRule>
    <cfRule type="expression" dxfId="115" priority="95">
      <formula>AND($E98 = 0 * ISNUMBER($E98))</formula>
    </cfRule>
    <cfRule type="expression" dxfId="114" priority="96">
      <formula>AND($E98 &lt; 0, ISNUMBER($E98))</formula>
    </cfRule>
  </conditionalFormatting>
  <conditionalFormatting sqref="A98:C117 G98:I117">
    <cfRule type="expression" dxfId="113" priority="91">
      <formula>AND($H98 &gt; 0, ISNUMBER($H98))</formula>
    </cfRule>
    <cfRule type="expression" dxfId="112" priority="92">
      <formula>AND($H98 = 0 * ISNUMBER($H98))</formula>
    </cfRule>
    <cfRule type="expression" dxfId="111" priority="93">
      <formula>AND($H98 &lt; 0, ISNUMBER($H98))</formula>
    </cfRule>
  </conditionalFormatting>
  <conditionalFormatting sqref="A98:C117 J98:L117">
    <cfRule type="expression" dxfId="110" priority="88">
      <formula>AND($K98 &gt; 0, ISNUMBER($K98))</formula>
    </cfRule>
    <cfRule type="expression" dxfId="109" priority="89">
      <formula>AND($K98 = 0 * ISNUMBER($K98))</formula>
    </cfRule>
    <cfRule type="expression" dxfId="108" priority="90">
      <formula>AND($K98 &lt; 0, ISNUMBER($K98))</formula>
    </cfRule>
  </conditionalFormatting>
  <conditionalFormatting sqref="D96:F97 E118:F118">
    <cfRule type="expression" dxfId="107" priority="82">
      <formula>$E$118 &gt; 0</formula>
    </cfRule>
    <cfRule type="expression" dxfId="106" priority="83">
      <formula>$E$118 = 0</formula>
    </cfRule>
    <cfRule type="expression" dxfId="105" priority="84">
      <formula>$E$118 &lt; 0</formula>
    </cfRule>
  </conditionalFormatting>
  <conditionalFormatting sqref="G96:I97 H118:I118">
    <cfRule type="expression" dxfId="104" priority="79">
      <formula>$H$118 &gt; 0</formula>
    </cfRule>
    <cfRule type="expression" dxfId="103" priority="80">
      <formula>$H$118 = 0</formula>
    </cfRule>
    <cfRule type="expression" dxfId="102" priority="81">
      <formula>$H$118 &lt; 0</formula>
    </cfRule>
  </conditionalFormatting>
  <conditionalFormatting sqref="J96:L97 K118:L118">
    <cfRule type="expression" dxfId="101" priority="76">
      <formula>$K$118 &gt; 0</formula>
    </cfRule>
    <cfRule type="expression" dxfId="100" priority="77">
      <formula>$K$118 = 0</formula>
    </cfRule>
    <cfRule type="expression" dxfId="99" priority="78">
      <formula>$K$118 &lt; 0</formula>
    </cfRule>
  </conditionalFormatting>
  <conditionalFormatting sqref="M96:O97 N118:O118">
    <cfRule type="expression" dxfId="98" priority="73">
      <formula>$N$118 &gt; 0</formula>
    </cfRule>
    <cfRule type="expression" dxfId="97" priority="74">
      <formula>$N$118 = 0</formula>
    </cfRule>
    <cfRule type="expression" dxfId="96" priority="75">
      <formula>$N$118 &lt; 0</formula>
    </cfRule>
  </conditionalFormatting>
  <conditionalFormatting sqref="A125:C144 M125:O144">
    <cfRule type="expression" dxfId="95" priority="61">
      <formula>AND($N125 &gt; 0, ISNUMBER($N125))</formula>
    </cfRule>
    <cfRule type="expression" dxfId="94" priority="62">
      <formula>AND($N125 = 0 * ISNUMBER($N125))</formula>
    </cfRule>
    <cfRule type="expression" dxfId="93" priority="63">
      <formula>AND($N125 &lt; 0, ISNUMBER($N125))</formula>
    </cfRule>
  </conditionalFormatting>
  <conditionalFormatting sqref="A125:F144">
    <cfRule type="expression" dxfId="92" priority="70">
      <formula>AND($E125 &gt; 0, ISNUMBER($E125))</formula>
    </cfRule>
    <cfRule type="expression" dxfId="91" priority="71">
      <formula>AND($E125 = 0 * ISNUMBER($E125))</formula>
    </cfRule>
    <cfRule type="expression" dxfId="90" priority="72">
      <formula>AND($E125 &lt; 0, ISNUMBER($E125))</formula>
    </cfRule>
  </conditionalFormatting>
  <conditionalFormatting sqref="A125:C144 G125:I144">
    <cfRule type="expression" dxfId="89" priority="67">
      <formula>AND($H125 &gt; 0, ISNUMBER($H125))</formula>
    </cfRule>
    <cfRule type="expression" dxfId="88" priority="68">
      <formula>AND($H125 = 0 * ISNUMBER($H125))</formula>
    </cfRule>
    <cfRule type="expression" dxfId="87" priority="69">
      <formula>AND($H125 &lt; 0, ISNUMBER($H125))</formula>
    </cfRule>
  </conditionalFormatting>
  <conditionalFormatting sqref="A125:C144 J125:L144">
    <cfRule type="expression" dxfId="86" priority="64">
      <formula>AND($K125 &gt; 0, ISNUMBER($K125))</formula>
    </cfRule>
    <cfRule type="expression" dxfId="85" priority="65">
      <formula>AND($K125 = 0 * ISNUMBER($K125))</formula>
    </cfRule>
    <cfRule type="expression" dxfId="84" priority="66">
      <formula>AND($K125 &lt; 0, ISNUMBER($K125))</formula>
    </cfRule>
  </conditionalFormatting>
  <conditionalFormatting sqref="D123:F124 E145:F145">
    <cfRule type="expression" dxfId="83" priority="58">
      <formula>$E$145 &gt; 0</formula>
    </cfRule>
    <cfRule type="expression" dxfId="82" priority="59">
      <formula>$E$145 = 0</formula>
    </cfRule>
    <cfRule type="expression" dxfId="81" priority="60">
      <formula>$E$145 &lt; 0</formula>
    </cfRule>
  </conditionalFormatting>
  <conditionalFormatting sqref="G123:I124 H145:I145">
    <cfRule type="expression" dxfId="80" priority="55">
      <formula>$H$145 &gt; 0</formula>
    </cfRule>
    <cfRule type="expression" dxfId="79" priority="56">
      <formula>$H$145 = 0</formula>
    </cfRule>
    <cfRule type="expression" dxfId="78" priority="57">
      <formula>$H$145 &lt; 0</formula>
    </cfRule>
  </conditionalFormatting>
  <conditionalFormatting sqref="J123:L124 K145:L145">
    <cfRule type="expression" dxfId="77" priority="52">
      <formula>$K$145 &gt; 0</formula>
    </cfRule>
    <cfRule type="expression" dxfId="76" priority="53">
      <formula>$K$145 = 0</formula>
    </cfRule>
    <cfRule type="expression" dxfId="75" priority="54">
      <formula>$K$145 &lt; 0</formula>
    </cfRule>
  </conditionalFormatting>
  <conditionalFormatting sqref="M123:O124 N145:O145">
    <cfRule type="expression" dxfId="74" priority="49">
      <formula>$N$145 &gt; 0</formula>
    </cfRule>
    <cfRule type="expression" dxfId="73" priority="50">
      <formula>$N$145 = 0</formula>
    </cfRule>
    <cfRule type="expression" dxfId="72" priority="51">
      <formula>$N$145 &lt; 0</formula>
    </cfRule>
  </conditionalFormatting>
  <conditionalFormatting sqref="A152:C171 M152:O171">
    <cfRule type="expression" dxfId="71" priority="37">
      <formula>AND($N152 &gt; 0, ISNUMBER($N152))</formula>
    </cfRule>
    <cfRule type="expression" dxfId="70" priority="38">
      <formula>AND($N152 = 0 * ISNUMBER($N152))</formula>
    </cfRule>
    <cfRule type="expression" dxfId="69" priority="39">
      <formula>AND($N152 &lt; 0, ISNUMBER($N152))</formula>
    </cfRule>
  </conditionalFormatting>
  <conditionalFormatting sqref="A152:F171">
    <cfRule type="expression" dxfId="68" priority="46">
      <formula>AND($E152 &gt; 0, ISNUMBER($E152))</formula>
    </cfRule>
    <cfRule type="expression" dxfId="67" priority="47">
      <formula>AND($E152 = 0 * ISNUMBER($E152))</formula>
    </cfRule>
    <cfRule type="expression" dxfId="66" priority="48">
      <formula>AND($E152 &lt; 0, ISNUMBER($E152))</formula>
    </cfRule>
  </conditionalFormatting>
  <conditionalFormatting sqref="A152:C171 G152:I171">
    <cfRule type="expression" dxfId="65" priority="43">
      <formula>AND($H152 &gt; 0, ISNUMBER($H152))</formula>
    </cfRule>
    <cfRule type="expression" dxfId="64" priority="44">
      <formula>AND($H152 = 0 * ISNUMBER($H152))</formula>
    </cfRule>
    <cfRule type="expression" dxfId="63" priority="45">
      <formula>AND($H152 &lt; 0, ISNUMBER($H152))</formula>
    </cfRule>
  </conditionalFormatting>
  <conditionalFormatting sqref="A152:C171 J152:L171">
    <cfRule type="expression" dxfId="62" priority="40">
      <formula>AND($K152 &gt; 0, ISNUMBER($K152))</formula>
    </cfRule>
    <cfRule type="expression" dxfId="61" priority="41">
      <formula>AND($K152 = 0 * ISNUMBER($K152))</formula>
    </cfRule>
    <cfRule type="expression" dxfId="60" priority="42">
      <formula>AND($K152 &lt; 0, ISNUMBER($K152))</formula>
    </cfRule>
  </conditionalFormatting>
  <conditionalFormatting sqref="D150:F151 E172:F172">
    <cfRule type="expression" dxfId="59" priority="34">
      <formula>$E$172 &gt; 0</formula>
    </cfRule>
    <cfRule type="expression" dxfId="58" priority="35">
      <formula>$E$172 = 0</formula>
    </cfRule>
    <cfRule type="expression" dxfId="57" priority="36">
      <formula>$E$172 &lt; 0</formula>
    </cfRule>
  </conditionalFormatting>
  <conditionalFormatting sqref="G150:I151 H172:I172">
    <cfRule type="expression" dxfId="56" priority="31">
      <formula>$H$172 &gt; 0</formula>
    </cfRule>
    <cfRule type="expression" dxfId="55" priority="32">
      <formula>$H$172 = 0</formula>
    </cfRule>
    <cfRule type="expression" dxfId="54" priority="33">
      <formula>$H$172 &lt; 0</formula>
    </cfRule>
  </conditionalFormatting>
  <conditionalFormatting sqref="J150:L151 K172:L172">
    <cfRule type="expression" dxfId="53" priority="28">
      <formula>$K$172 &gt; 0</formula>
    </cfRule>
    <cfRule type="expression" dxfId="52" priority="29">
      <formula>$K$172 = 0</formula>
    </cfRule>
    <cfRule type="expression" dxfId="51" priority="30">
      <formula>$K$172 &lt; 0</formula>
    </cfRule>
  </conditionalFormatting>
  <conditionalFormatting sqref="M150:O151 N172:O172">
    <cfRule type="expression" dxfId="50" priority="25">
      <formula>$N$172 &gt; 0</formula>
    </cfRule>
    <cfRule type="expression" dxfId="49" priority="26">
      <formula>$N$172 = 0</formula>
    </cfRule>
    <cfRule type="expression" dxfId="48" priority="27">
      <formula>$N$172 &lt; 0</formula>
    </cfRule>
  </conditionalFormatting>
  <conditionalFormatting sqref="A179:C198 M179:O198">
    <cfRule type="expression" dxfId="47" priority="13">
      <formula>AND($N179 &gt; 0, ISNUMBER($N179))</formula>
    </cfRule>
    <cfRule type="expression" dxfId="46" priority="14">
      <formula>AND($N179 = 0 * ISNUMBER($N179))</formula>
    </cfRule>
    <cfRule type="expression" dxfId="45" priority="15">
      <formula>AND($N179 &lt; 0, ISNUMBER($N179))</formula>
    </cfRule>
  </conditionalFormatting>
  <conditionalFormatting sqref="A179:F198">
    <cfRule type="expression" dxfId="44" priority="22">
      <formula>AND($E179 &gt; 0, ISNUMBER($E179))</formula>
    </cfRule>
    <cfRule type="expression" dxfId="43" priority="23">
      <formula>AND($E179 = 0 * ISNUMBER($E179))</formula>
    </cfRule>
    <cfRule type="expression" dxfId="42" priority="24">
      <formula>AND($E179 &lt; 0, ISNUMBER($E179))</formula>
    </cfRule>
  </conditionalFormatting>
  <conditionalFormatting sqref="A179:C198 G179:I198">
    <cfRule type="expression" dxfId="41" priority="19">
      <formula>AND($H179 &gt; 0, ISNUMBER($H179))</formula>
    </cfRule>
    <cfRule type="expression" dxfId="40" priority="20">
      <formula>AND($H179 = 0 * ISNUMBER($H179))</formula>
    </cfRule>
    <cfRule type="expression" dxfId="39" priority="21">
      <formula>AND($H179 &lt; 0, ISNUMBER($H179))</formula>
    </cfRule>
  </conditionalFormatting>
  <conditionalFormatting sqref="A179:C198 J179:L198">
    <cfRule type="expression" dxfId="38" priority="16">
      <formula>AND($K179 &gt; 0, ISNUMBER($K179))</formula>
    </cfRule>
    <cfRule type="expression" dxfId="37" priority="17">
      <formula>AND($K179 = 0 * ISNUMBER($K179))</formula>
    </cfRule>
    <cfRule type="expression" dxfId="36" priority="18">
      <formula>AND($K179 &lt; 0, ISNUMBER($K179))</formula>
    </cfRule>
  </conditionalFormatting>
  <conditionalFormatting sqref="D177:F178 E199:F199">
    <cfRule type="expression" dxfId="35" priority="10">
      <formula>$E$199 &gt; 0</formula>
    </cfRule>
    <cfRule type="expression" dxfId="34" priority="11">
      <formula>$E$199 = 0</formula>
    </cfRule>
    <cfRule type="expression" dxfId="33" priority="12">
      <formula>$E$199 &lt; 0</formula>
    </cfRule>
  </conditionalFormatting>
  <conditionalFormatting sqref="G177:I178 H199:I199">
    <cfRule type="expression" dxfId="32" priority="7">
      <formula>$H$199 &gt; 0</formula>
    </cfRule>
    <cfRule type="expression" dxfId="31" priority="8">
      <formula>$H$199 = 0</formula>
    </cfRule>
    <cfRule type="expression" dxfId="30" priority="9">
      <formula>$H$199 &lt; 0</formula>
    </cfRule>
  </conditionalFormatting>
  <conditionalFormatting sqref="J177:L178 K199:L199">
    <cfRule type="expression" dxfId="29" priority="4">
      <formula>$K$199 &gt; 0</formula>
    </cfRule>
    <cfRule type="expression" dxfId="28" priority="5">
      <formula>$K$199 = 0</formula>
    </cfRule>
    <cfRule type="expression" dxfId="27" priority="6">
      <formula>$K$199 &lt; 0</formula>
    </cfRule>
  </conditionalFormatting>
  <conditionalFormatting sqref="M177:O178 N199:O199">
    <cfRule type="expression" dxfId="26" priority="1">
      <formula>$N$199 &gt; 0</formula>
    </cfRule>
    <cfRule type="expression" dxfId="25" priority="2">
      <formula>$N$199 = 0</formula>
    </cfRule>
    <cfRule type="expression" dxfId="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21</vt:i4>
      </vt:variant>
    </vt:vector>
  </HeadingPairs>
  <TitlesOfParts>
    <vt:vector size="21" baseType="lpstr">
      <vt:lpstr>투자전략(조건부서식초기화)</vt:lpstr>
      <vt:lpstr>투자전략</vt:lpstr>
      <vt:lpstr>현재가테이블</vt:lpstr>
      <vt:lpstr>종목선정</vt:lpstr>
      <vt:lpstr>월말결산</vt:lpstr>
      <vt:lpstr>2021.05.01</vt:lpstr>
      <vt:lpstr>2021.05.02</vt:lpstr>
      <vt:lpstr>2021.05.03</vt:lpstr>
      <vt:lpstr>2021.05.04</vt:lpstr>
      <vt:lpstr>2021.05.05</vt:lpstr>
      <vt:lpstr>2021.05.06</vt:lpstr>
      <vt:lpstr>2021.05.07</vt:lpstr>
      <vt:lpstr>2021.05.08</vt:lpstr>
      <vt:lpstr>2021.05.09</vt:lpstr>
      <vt:lpstr>2021.05.10</vt:lpstr>
      <vt:lpstr>2021.05.11</vt:lpstr>
      <vt:lpstr>2021.05.12</vt:lpstr>
      <vt:lpstr>2021.05.13</vt:lpstr>
      <vt:lpstr>2021.05.14</vt:lpstr>
      <vt:lpstr>2021.05.15</vt:lpstr>
      <vt:lpstr>2021.05.16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2021-05-15T15:07:29Z</dcterms:modified>
</cp:coreProperties>
</file>